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workbookProtection lockStructure="1"/>
  <bookViews>
    <workbookView xWindow="-120" yWindow="-120" windowWidth="20730" windowHeight="11160" activeTab="1"/>
  </bookViews>
  <sheets>
    <sheet name="Relevé 1ère année SM" sheetId="2" r:id="rId1"/>
    <sheet name="Relevé 2ème année Physique" sheetId="3" r:id="rId2"/>
    <sheet name="Relevé 3ème année PM" sheetId="4" r:id="rId3"/>
    <sheet name="Relevé 3ème année PF" sheetId="7" r:id="rId4"/>
    <sheet name="Relevé 3ème année PE" sheetId="8" r:id="rId5"/>
  </sheets>
  <calcPr calcId="125725"/>
</workbook>
</file>

<file path=xl/calcChain.xml><?xml version="1.0" encoding="utf-8"?>
<calcChain xmlns="http://schemas.openxmlformats.org/spreadsheetml/2006/main">
  <c r="S14" i="8"/>
  <c r="I19"/>
  <c r="J15"/>
  <c r="I16"/>
  <c r="C15" s="1"/>
  <c r="D15" s="1"/>
  <c r="D13" i="7"/>
  <c r="I14" i="8"/>
  <c r="J14" s="1"/>
  <c r="I13"/>
  <c r="J13" s="1"/>
  <c r="J11"/>
  <c r="R19"/>
  <c r="R17"/>
  <c r="S17" s="1"/>
  <c r="M17" s="1"/>
  <c r="I17"/>
  <c r="C17" s="1"/>
  <c r="R16"/>
  <c r="S16" s="1"/>
  <c r="R15"/>
  <c r="I15"/>
  <c r="R14"/>
  <c r="R13"/>
  <c r="S13" s="1"/>
  <c r="R12"/>
  <c r="S12" s="1"/>
  <c r="I12"/>
  <c r="J12" s="1"/>
  <c r="R11"/>
  <c r="L11" s="1"/>
  <c r="M11" s="1"/>
  <c r="I11"/>
  <c r="C11" s="1"/>
  <c r="D11" s="1"/>
  <c r="S10"/>
  <c r="R10"/>
  <c r="I10"/>
  <c r="J10" s="1"/>
  <c r="R9"/>
  <c r="L9" s="1"/>
  <c r="M9" s="1"/>
  <c r="I9"/>
  <c r="I12" i="7"/>
  <c r="J12" s="1"/>
  <c r="R19"/>
  <c r="I19"/>
  <c r="R16"/>
  <c r="S16" s="1"/>
  <c r="R17"/>
  <c r="S17" s="1"/>
  <c r="M17" s="1"/>
  <c r="I17"/>
  <c r="J17" s="1"/>
  <c r="D17" s="1"/>
  <c r="R15"/>
  <c r="L15" s="1"/>
  <c r="M15" s="1"/>
  <c r="I15"/>
  <c r="J15" s="1"/>
  <c r="D15" s="1"/>
  <c r="R14"/>
  <c r="S14" s="1"/>
  <c r="I14"/>
  <c r="J14" s="1"/>
  <c r="R13"/>
  <c r="L13" s="1"/>
  <c r="M13" s="1"/>
  <c r="I13"/>
  <c r="C13" s="1"/>
  <c r="R12"/>
  <c r="S12" s="1"/>
  <c r="R11"/>
  <c r="S11" s="1"/>
  <c r="I11"/>
  <c r="J11" s="1"/>
  <c r="R10"/>
  <c r="S10" s="1"/>
  <c r="I10"/>
  <c r="J10" s="1"/>
  <c r="R9"/>
  <c r="S9" s="1"/>
  <c r="I9"/>
  <c r="J9" s="1"/>
  <c r="I16" i="4"/>
  <c r="R19"/>
  <c r="I19"/>
  <c r="R17"/>
  <c r="R16"/>
  <c r="R14"/>
  <c r="R15"/>
  <c r="R13"/>
  <c r="R10"/>
  <c r="R11"/>
  <c r="R12"/>
  <c r="R9"/>
  <c r="I17"/>
  <c r="I13"/>
  <c r="I14"/>
  <c r="I15"/>
  <c r="I12"/>
  <c r="I10"/>
  <c r="I11"/>
  <c r="I9"/>
  <c r="L17" i="8" l="1"/>
  <c r="L15"/>
  <c r="M15" s="1"/>
  <c r="S15"/>
  <c r="L13"/>
  <c r="M13" s="1"/>
  <c r="S11"/>
  <c r="S9"/>
  <c r="J16"/>
  <c r="C13"/>
  <c r="D13" s="1"/>
  <c r="C9"/>
  <c r="D9"/>
  <c r="J9"/>
  <c r="J17"/>
  <c r="D17" s="1"/>
  <c r="S15" i="7"/>
  <c r="C17"/>
  <c r="C15"/>
  <c r="J13"/>
  <c r="S13"/>
  <c r="L9"/>
  <c r="C9"/>
  <c r="L17"/>
  <c r="R18" i="2"/>
  <c r="I18"/>
  <c r="R19" i="3"/>
  <c r="I19"/>
  <c r="R18" i="8" l="1"/>
  <c r="I18"/>
  <c r="M9" i="7"/>
  <c r="R18"/>
  <c r="D9"/>
  <c r="I18"/>
  <c r="K20" s="1"/>
  <c r="R17" i="3"/>
  <c r="R16"/>
  <c r="R14"/>
  <c r="R15"/>
  <c r="R13"/>
  <c r="R10"/>
  <c r="R11"/>
  <c r="R12"/>
  <c r="R9"/>
  <c r="K20" i="8" l="1"/>
  <c r="M18" s="1"/>
  <c r="D18"/>
  <c r="K21" s="1"/>
  <c r="M18" i="7"/>
  <c r="D18"/>
  <c r="I17" i="3"/>
  <c r="I16"/>
  <c r="I14"/>
  <c r="I15"/>
  <c r="I13"/>
  <c r="I10"/>
  <c r="I11"/>
  <c r="I12"/>
  <c r="I9"/>
  <c r="I9" i="2"/>
  <c r="K21" i="7" l="1"/>
  <c r="J15" i="3"/>
  <c r="S15"/>
  <c r="R16" i="2" l="1"/>
  <c r="R15"/>
  <c r="R13"/>
  <c r="R14"/>
  <c r="R12"/>
  <c r="R10"/>
  <c r="R11"/>
  <c r="R9"/>
  <c r="I16"/>
  <c r="I15"/>
  <c r="I13"/>
  <c r="I14"/>
  <c r="I12"/>
  <c r="I10"/>
  <c r="I11"/>
  <c r="L13" i="4" l="1"/>
  <c r="S14"/>
  <c r="S13"/>
  <c r="L9"/>
  <c r="S10"/>
  <c r="J16"/>
  <c r="D16" s="1"/>
  <c r="C12"/>
  <c r="J13"/>
  <c r="J12"/>
  <c r="C9"/>
  <c r="S17"/>
  <c r="M17" s="1"/>
  <c r="L17"/>
  <c r="J17"/>
  <c r="D17" s="1"/>
  <c r="C17"/>
  <c r="S16"/>
  <c r="M16" s="1"/>
  <c r="L16"/>
  <c r="C16"/>
  <c r="S15"/>
  <c r="J15"/>
  <c r="J14"/>
  <c r="S12"/>
  <c r="S11"/>
  <c r="J11"/>
  <c r="J10"/>
  <c r="S9"/>
  <c r="J9"/>
  <c r="M9" l="1"/>
  <c r="I18"/>
  <c r="D12"/>
  <c r="D9"/>
  <c r="R18"/>
  <c r="M13"/>
  <c r="S16" i="3"/>
  <c r="M16" s="1"/>
  <c r="L13"/>
  <c r="S14"/>
  <c r="L9"/>
  <c r="S10"/>
  <c r="S17"/>
  <c r="M17" s="1"/>
  <c r="L17"/>
  <c r="J17"/>
  <c r="D17" s="1"/>
  <c r="C17"/>
  <c r="L16"/>
  <c r="J16"/>
  <c r="D16" s="1"/>
  <c r="C16"/>
  <c r="J14"/>
  <c r="S13"/>
  <c r="J13"/>
  <c r="C13"/>
  <c r="S12"/>
  <c r="J12"/>
  <c r="S11"/>
  <c r="J11"/>
  <c r="J10"/>
  <c r="S9"/>
  <c r="J9"/>
  <c r="C9"/>
  <c r="K20" i="4" l="1"/>
  <c r="M18" s="1"/>
  <c r="M13" i="3"/>
  <c r="D13"/>
  <c r="I18"/>
  <c r="R18"/>
  <c r="M9"/>
  <c r="D9"/>
  <c r="L12" i="2"/>
  <c r="L16"/>
  <c r="L15"/>
  <c r="S15"/>
  <c r="S12"/>
  <c r="J15"/>
  <c r="J12"/>
  <c r="C15"/>
  <c r="C12"/>
  <c r="C16"/>
  <c r="D18" i="4" l="1"/>
  <c r="K21" s="1"/>
  <c r="K20" i="3"/>
  <c r="M18" s="1"/>
  <c r="S16" i="2"/>
  <c r="M16" s="1"/>
  <c r="M15"/>
  <c r="S14"/>
  <c r="S13"/>
  <c r="S11"/>
  <c r="S10"/>
  <c r="S9"/>
  <c r="J16"/>
  <c r="D16" s="1"/>
  <c r="D15"/>
  <c r="J14"/>
  <c r="J13"/>
  <c r="J10"/>
  <c r="J11"/>
  <c r="J9"/>
  <c r="L9"/>
  <c r="R17" s="1"/>
  <c r="C9"/>
  <c r="I17" s="1"/>
  <c r="D18" i="3" l="1"/>
  <c r="K21" s="1"/>
  <c r="M12" i="2"/>
  <c r="D12"/>
  <c r="M9"/>
  <c r="D9"/>
  <c r="K20"/>
  <c r="O22" i="3" s="1"/>
  <c r="O22" i="7" l="1"/>
  <c r="O22" i="8"/>
  <c r="O22" i="4"/>
  <c r="M17" i="2"/>
  <c r="D17" l="1"/>
  <c r="K21" s="1"/>
  <c r="N21" s="1"/>
  <c r="K22" i="3" l="1"/>
  <c r="N21" s="1"/>
  <c r="K22" i="8" l="1"/>
  <c r="K22" i="7"/>
  <c r="K22" i="4"/>
  <c r="N21" i="7" l="1"/>
  <c r="N21" i="4"/>
  <c r="N21" i="8"/>
</calcChain>
</file>

<file path=xl/sharedStrings.xml><?xml version="1.0" encoding="utf-8"?>
<sst xmlns="http://schemas.openxmlformats.org/spreadsheetml/2006/main" count="307" uniqueCount="139">
  <si>
    <t>Unite Fond</t>
  </si>
  <si>
    <t>Unite Métho</t>
  </si>
  <si>
    <t>Anglais3</t>
  </si>
  <si>
    <t>Unite Deco</t>
  </si>
  <si>
    <t>Unité Trans</t>
  </si>
  <si>
    <t>Semestre 3</t>
  </si>
  <si>
    <t>Thermodynamique</t>
  </si>
  <si>
    <t>Anglais4</t>
  </si>
  <si>
    <t>Semestre 4</t>
  </si>
  <si>
    <t>Semestre 1</t>
  </si>
  <si>
    <t>Semestre 2</t>
  </si>
  <si>
    <t>Maths 1</t>
  </si>
  <si>
    <t>Physique 1</t>
  </si>
  <si>
    <t>Chimie 1</t>
  </si>
  <si>
    <t>Informatique 1</t>
  </si>
  <si>
    <t>TP Chimie 1</t>
  </si>
  <si>
    <t>TP Physique 1</t>
  </si>
  <si>
    <t>Environnement</t>
  </si>
  <si>
    <t>Maths 2</t>
  </si>
  <si>
    <t>Physique 2</t>
  </si>
  <si>
    <t>Chimie 2</t>
  </si>
  <si>
    <t>Informatique 2</t>
  </si>
  <si>
    <t>TP Chimie 2</t>
  </si>
  <si>
    <t>TP Physique 2</t>
  </si>
  <si>
    <t>Anglais 2</t>
  </si>
  <si>
    <t>Anglais 1</t>
  </si>
  <si>
    <t>Histoire des Sciences</t>
  </si>
  <si>
    <t xml:space="preserve">Unité </t>
  </si>
  <si>
    <t>Matière</t>
  </si>
  <si>
    <t>Décision:</t>
  </si>
  <si>
    <t>Crédit S3:</t>
  </si>
  <si>
    <t>Moyenne S3:</t>
  </si>
  <si>
    <t>Crédit S4:</t>
  </si>
  <si>
    <t>Moyenne S4:</t>
  </si>
  <si>
    <t>Moyenne L1:</t>
  </si>
  <si>
    <t>Crédit L1:</t>
  </si>
  <si>
    <t>Moyenne L2:</t>
  </si>
  <si>
    <t>Crédit L2:</t>
  </si>
  <si>
    <t>Crédit L1+L2:</t>
  </si>
  <si>
    <t>Unite Trans</t>
  </si>
  <si>
    <t>RELEVE 1ère ANNEE SM</t>
  </si>
  <si>
    <t>Cristallographie Physique</t>
  </si>
  <si>
    <t>Mécanique Analytique</t>
  </si>
  <si>
    <t>Vibrations et Ondes</t>
  </si>
  <si>
    <t>Séries et Equations Différentielles</t>
  </si>
  <si>
    <t>Méthodes Numérique et Program</t>
  </si>
  <si>
    <t>TP Vibrations et Ondes</t>
  </si>
  <si>
    <t>Fonction de la variable complexe</t>
  </si>
  <si>
    <t>Mécanique Quantique</t>
  </si>
  <si>
    <t>Electromagnétisme</t>
  </si>
  <si>
    <t>Electronique Générale</t>
  </si>
  <si>
    <t>Mécanique des Fluides</t>
  </si>
  <si>
    <t>TP Thermodynamique appliqué</t>
  </si>
  <si>
    <t>Tech d'analyse physico-chimique</t>
  </si>
  <si>
    <t>RELEVE 2ème ANNEE PHYSIQUE</t>
  </si>
  <si>
    <t>TP Optique Géométrique et Physique</t>
  </si>
  <si>
    <t>RELEVE 3ème ANNEE PM</t>
  </si>
  <si>
    <t>Semestre 5</t>
  </si>
  <si>
    <t>Semestre 6</t>
  </si>
  <si>
    <t>Mécanique quantique 2</t>
  </si>
  <si>
    <t>Physique de solide 1</t>
  </si>
  <si>
    <t>Physique statistique</t>
  </si>
  <si>
    <t>Optique Géométrique et Physique</t>
  </si>
  <si>
    <t>Analyse numérique</t>
  </si>
  <si>
    <t>Mathématique pour la Physique</t>
  </si>
  <si>
    <t>TP Physique de solide 1</t>
  </si>
  <si>
    <t>Relativité restreinte</t>
  </si>
  <si>
    <t>Anglais scientifique 1</t>
  </si>
  <si>
    <t>Physique des semi-conducteur</t>
  </si>
  <si>
    <t>Physique de solide 2</t>
  </si>
  <si>
    <t>Propriétés des défauts</t>
  </si>
  <si>
    <t>TP Physique des semi-conducteur</t>
  </si>
  <si>
    <t>TP Physique de solide 2</t>
  </si>
  <si>
    <t>TP d’analy et caracté des matériaux</t>
  </si>
  <si>
    <t>Plasmas</t>
  </si>
  <si>
    <t>Ethique et Déontologie</t>
  </si>
  <si>
    <t>Crédit L1+L2+L3:</t>
  </si>
  <si>
    <t>Crédit L3:</t>
  </si>
  <si>
    <t>Moyenne L3:</t>
  </si>
  <si>
    <t>RELEVE 3ème ANNEE PF</t>
  </si>
  <si>
    <t>Physique atomique</t>
  </si>
  <si>
    <t>Méthodes Mathématique pour la Physique</t>
  </si>
  <si>
    <t>Physique Numérique</t>
  </si>
  <si>
    <t>Les Energies</t>
  </si>
  <si>
    <t>Physique de solide</t>
  </si>
  <si>
    <t>Physique Nucléaire</t>
  </si>
  <si>
    <t>Transfert de Chaleur</t>
  </si>
  <si>
    <t>TP Physique de solide</t>
  </si>
  <si>
    <t>TP Physique Atomique</t>
  </si>
  <si>
    <t>Physique des Plasmas</t>
  </si>
  <si>
    <t xml:space="preserve"> Anglais Scientifique 2</t>
  </si>
  <si>
    <t>RELEVE 3ème ANNEE PE</t>
  </si>
  <si>
    <t>Unite Fond 2</t>
  </si>
  <si>
    <t>Unite Fond 1</t>
  </si>
  <si>
    <t>Mécanique des fluides 2</t>
  </si>
  <si>
    <t>Transfert de chaleur et masse 1</t>
  </si>
  <si>
    <t>Math appliquée à l’énergétique 1</t>
  </si>
  <si>
    <t>Thermodynamique approfondie</t>
  </si>
  <si>
    <t>Méthodes numériques</t>
  </si>
  <si>
    <t>Energies</t>
  </si>
  <si>
    <t>Physique des Semi conducteur</t>
  </si>
  <si>
    <t>Transfert de chaleur et masse 2</t>
  </si>
  <si>
    <t>Mécanique des fluides 3</t>
  </si>
  <si>
    <t>Math appliquée à l’énergétique 2</t>
  </si>
  <si>
    <t>Thermodynamique appliqué</t>
  </si>
  <si>
    <t>Rayonnement et matière</t>
  </si>
  <si>
    <t>Conversion d’énergie</t>
  </si>
  <si>
    <t>Energie solaire</t>
  </si>
  <si>
    <t>Ethique et déontologie</t>
  </si>
  <si>
    <t>Note
Examen</t>
  </si>
  <si>
    <t>Note 
CC</t>
  </si>
  <si>
    <t>Crédit 
Matière</t>
  </si>
  <si>
    <t>Moyenne 
Matière</t>
  </si>
  <si>
    <t>Moyenne 
unité</t>
  </si>
  <si>
    <t>Crédit 
Unité</t>
  </si>
  <si>
    <t>Crédit
 Unité</t>
  </si>
  <si>
    <t>Crédit
 Matière</t>
  </si>
  <si>
    <t>Crédit S1:</t>
  </si>
  <si>
    <t>Crédit S2:</t>
  </si>
  <si>
    <t>Moyenne S1:</t>
  </si>
  <si>
    <t>Moyenne S2:</t>
  </si>
  <si>
    <t>Note 
Rattrapage</t>
  </si>
  <si>
    <t>Session S1:</t>
  </si>
  <si>
    <t>Session S2:</t>
  </si>
  <si>
    <t>UNIVERSITÉ IBN-KHALDOUN DE TIARET</t>
  </si>
  <si>
    <t>FACULTÉ DES SCIENCES DE LA MATIÈRE</t>
  </si>
  <si>
    <t>DÉPARTEMENT DE PHYSIQUE</t>
  </si>
  <si>
    <t>Realisé par Mr: DEBDAB.A</t>
  </si>
  <si>
    <t>Session S3:</t>
  </si>
  <si>
    <t>Session S4:</t>
  </si>
  <si>
    <t>Crédit S5:</t>
  </si>
  <si>
    <t>Moyenne S5:</t>
  </si>
  <si>
    <t>Crédit S6:</t>
  </si>
  <si>
    <t>Moyenne S6:</t>
  </si>
  <si>
    <t>Session S5:</t>
  </si>
  <si>
    <t>Session S6:</t>
  </si>
  <si>
    <t>Logiciels</t>
  </si>
  <si>
    <t>Moyenne Générale de Formation :</t>
  </si>
  <si>
    <t>TP thermodynamique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</si>
</sst>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8"/>
      <color theme="0" tint="-0.49998474074526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BF560"/>
        <bgColor indexed="64"/>
      </patternFill>
    </fill>
    <fill>
      <patternFill patternType="solid">
        <fgColor rgb="FFE864C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2" borderId="0" xfId="0" applyFill="1"/>
    <xf numFmtId="0" fontId="2" fillId="8" borderId="3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8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36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/>
    </xf>
    <xf numFmtId="0" fontId="2" fillId="7" borderId="26" xfId="0" applyFont="1" applyFill="1" applyBorder="1" applyAlignment="1">
      <alignment horizontal="left" vertical="center"/>
    </xf>
    <xf numFmtId="0" fontId="2" fillId="7" borderId="27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left" vertical="center"/>
    </xf>
    <xf numFmtId="0" fontId="2" fillId="6" borderId="27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10" borderId="40" xfId="0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vertical="center"/>
    </xf>
    <xf numFmtId="0" fontId="1" fillId="11" borderId="2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2" fontId="1" fillId="7" borderId="26" xfId="0" applyNumberFormat="1" applyFont="1" applyFill="1" applyBorder="1" applyAlignment="1">
      <alignment horizontal="center" vertical="center"/>
    </xf>
    <xf numFmtId="2" fontId="1" fillId="6" borderId="26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2" fontId="1" fillId="8" borderId="12" xfId="0" applyNumberFormat="1" applyFont="1" applyFill="1" applyBorder="1" applyAlignment="1" applyProtection="1">
      <alignment horizontal="center" vertical="center"/>
    </xf>
    <xf numFmtId="2" fontId="1" fillId="8" borderId="4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8" borderId="36" xfId="0" applyNumberFormat="1" applyFont="1" applyFill="1" applyBorder="1" applyAlignment="1" applyProtection="1">
      <alignment horizontal="center" vertical="center"/>
    </xf>
    <xf numFmtId="2" fontId="1" fillId="8" borderId="6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2" fontId="1" fillId="8" borderId="8" xfId="0" applyNumberFormat="1" applyFont="1" applyFill="1" applyBorder="1" applyAlignment="1" applyProtection="1">
      <alignment horizontal="center" vertical="center"/>
    </xf>
    <xf numFmtId="2" fontId="1" fillId="8" borderId="9" xfId="0" applyNumberFormat="1" applyFont="1" applyFill="1" applyBorder="1" applyAlignment="1">
      <alignment horizontal="center" vertical="center"/>
    </xf>
    <xf numFmtId="2" fontId="1" fillId="5" borderId="12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2" fontId="1" fillId="5" borderId="36" xfId="0" applyNumberFormat="1" applyFont="1" applyFill="1" applyBorder="1" applyAlignment="1" applyProtection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 applyProtection="1">
      <alignment horizontal="center" vertical="center"/>
      <protection locked="0"/>
    </xf>
    <xf numFmtId="2" fontId="1" fillId="5" borderId="8" xfId="0" applyNumberFormat="1" applyFont="1" applyFill="1" applyBorder="1" applyAlignment="1" applyProtection="1">
      <alignment horizontal="center" vertical="center"/>
    </xf>
    <xf numFmtId="2" fontId="1" fillId="5" borderId="39" xfId="0" applyNumberFormat="1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 applyProtection="1">
      <alignment horizontal="center" vertical="center"/>
      <protection locked="0"/>
    </xf>
    <xf numFmtId="2" fontId="1" fillId="7" borderId="26" xfId="0" applyNumberFormat="1" applyFont="1" applyFill="1" applyBorder="1" applyAlignment="1" applyProtection="1">
      <alignment horizontal="center" vertical="center"/>
    </xf>
    <xf numFmtId="2" fontId="1" fillId="7" borderId="17" xfId="0" applyNumberFormat="1" applyFont="1" applyFill="1" applyBorder="1" applyAlignment="1">
      <alignment horizontal="center" vertical="center"/>
    </xf>
    <xf numFmtId="2" fontId="1" fillId="6" borderId="17" xfId="0" applyNumberFormat="1" applyFont="1" applyFill="1" applyBorder="1" applyAlignment="1">
      <alignment horizontal="center" vertical="center"/>
    </xf>
    <xf numFmtId="2" fontId="1" fillId="10" borderId="41" xfId="0" applyNumberFormat="1" applyFont="1" applyFill="1" applyBorder="1" applyAlignment="1">
      <alignment horizontal="center" vertical="center"/>
    </xf>
    <xf numFmtId="2" fontId="1" fillId="10" borderId="42" xfId="0" applyNumberFormat="1" applyFont="1" applyFill="1" applyBorder="1" applyAlignment="1">
      <alignment horizontal="center" vertical="center"/>
    </xf>
    <xf numFmtId="2" fontId="1" fillId="6" borderId="26" xfId="0" applyNumberFormat="1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2" fontId="1" fillId="9" borderId="22" xfId="0" applyNumberFormat="1" applyFont="1" applyFill="1" applyBorder="1" applyAlignment="1">
      <alignment horizontal="center" vertical="center"/>
    </xf>
    <xf numFmtId="2" fontId="1" fillId="10" borderId="22" xfId="0" applyNumberFormat="1" applyFont="1" applyFill="1" applyBorder="1" applyAlignment="1">
      <alignment horizontal="center" vertical="center"/>
    </xf>
    <xf numFmtId="2" fontId="5" fillId="7" borderId="26" xfId="0" applyNumberFormat="1" applyFont="1" applyFill="1" applyBorder="1" applyAlignment="1">
      <alignment horizontal="center" vertical="center"/>
    </xf>
    <xf numFmtId="2" fontId="5" fillId="6" borderId="26" xfId="0" applyNumberFormat="1" applyFont="1" applyFill="1" applyBorder="1" applyAlignment="1">
      <alignment horizontal="center" vertical="center"/>
    </xf>
    <xf numFmtId="2" fontId="5" fillId="0" borderId="26" xfId="0" applyNumberFormat="1" applyFont="1" applyFill="1" applyBorder="1" applyAlignment="1" applyProtection="1">
      <alignment horizontal="center" vertical="center"/>
      <protection locked="0"/>
    </xf>
    <xf numFmtId="2" fontId="5" fillId="0" borderId="3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8" xfId="0" applyNumberFormat="1" applyFont="1" applyFill="1" applyBorder="1" applyAlignment="1" applyProtection="1">
      <alignment horizontal="center" vertical="center"/>
      <protection locked="0"/>
    </xf>
    <xf numFmtId="2" fontId="5" fillId="0" borderId="36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8" borderId="37" xfId="0" applyNumberFormat="1" applyFont="1" applyFill="1" applyBorder="1" applyAlignment="1" applyProtection="1">
      <alignment horizontal="center" vertical="center"/>
    </xf>
    <xf numFmtId="2" fontId="1" fillId="8" borderId="3" xfId="0" applyNumberFormat="1" applyFont="1" applyFill="1" applyBorder="1" applyAlignment="1" applyProtection="1">
      <alignment horizontal="center" vertical="center"/>
    </xf>
    <xf numFmtId="2" fontId="1" fillId="11" borderId="2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9" borderId="20" xfId="0" applyFont="1" applyFill="1" applyBorder="1" applyAlignment="1">
      <alignment horizontal="left" vertical="center"/>
    </xf>
    <xf numFmtId="0" fontId="1" fillId="10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6" fillId="11" borderId="22" xfId="0" applyFont="1" applyFill="1" applyBorder="1" applyAlignment="1">
      <alignment horizontal="center" vertical="center"/>
    </xf>
    <xf numFmtId="0" fontId="2" fillId="2" borderId="0" xfId="0" applyFont="1" applyFill="1"/>
    <xf numFmtId="20" fontId="2" fillId="2" borderId="0" xfId="0" applyNumberFormat="1" applyFont="1" applyFill="1"/>
    <xf numFmtId="0" fontId="2" fillId="6" borderId="16" xfId="0" applyFont="1" applyFill="1" applyBorder="1" applyAlignment="1">
      <alignment horizontal="left"/>
    </xf>
    <xf numFmtId="0" fontId="2" fillId="8" borderId="1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2" fontId="1" fillId="8" borderId="33" xfId="0" applyNumberFormat="1" applyFont="1" applyFill="1" applyBorder="1" applyAlignment="1">
      <alignment horizontal="center" vertical="center"/>
    </xf>
    <xf numFmtId="2" fontId="1" fillId="8" borderId="30" xfId="0" applyNumberFormat="1" applyFont="1" applyFill="1" applyBorder="1" applyAlignment="1">
      <alignment horizontal="center" vertical="center"/>
    </xf>
    <xf numFmtId="2" fontId="1" fillId="8" borderId="31" xfId="0" applyNumberFormat="1" applyFont="1" applyFill="1" applyBorder="1" applyAlignment="1">
      <alignment horizontal="center" vertical="center"/>
    </xf>
    <xf numFmtId="2" fontId="1" fillId="5" borderId="29" xfId="0" applyNumberFormat="1" applyFont="1" applyFill="1" applyBorder="1" applyAlignment="1">
      <alignment horizontal="center" vertical="center"/>
    </xf>
    <xf numFmtId="2" fontId="1" fillId="5" borderId="30" xfId="0" applyNumberFormat="1" applyFont="1" applyFill="1" applyBorder="1" applyAlignment="1">
      <alignment horizontal="center" vertical="center"/>
    </xf>
    <xf numFmtId="2" fontId="1" fillId="5" borderId="31" xfId="0" applyNumberFormat="1" applyFont="1" applyFill="1" applyBorder="1" applyAlignment="1">
      <alignment horizontal="center" vertical="center"/>
    </xf>
    <xf numFmtId="2" fontId="1" fillId="6" borderId="32" xfId="0" applyNumberFormat="1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2" fontId="1" fillId="8" borderId="10" xfId="0" applyNumberFormat="1" applyFont="1" applyFill="1" applyBorder="1" applyAlignment="1" applyProtection="1">
      <alignment horizontal="center" vertical="center"/>
    </xf>
    <xf numFmtId="2" fontId="1" fillId="8" borderId="1" xfId="0" applyNumberFormat="1" applyFont="1" applyFill="1" applyBorder="1" applyAlignment="1" applyProtection="1">
      <alignment horizontal="center" vertical="center"/>
    </xf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2" fontId="1" fillId="9" borderId="42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left"/>
    </xf>
    <xf numFmtId="0" fontId="1" fillId="6" borderId="26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 applyProtection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left" vertical="center"/>
    </xf>
    <xf numFmtId="0" fontId="1" fillId="10" borderId="20" xfId="0" applyFont="1" applyFill="1" applyBorder="1" applyAlignment="1">
      <alignment horizontal="left" vertical="center"/>
    </xf>
    <xf numFmtId="2" fontId="1" fillId="5" borderId="43" xfId="0" applyNumberFormat="1" applyFont="1" applyFill="1" applyBorder="1" applyAlignment="1" applyProtection="1">
      <alignment horizontal="center" vertical="center"/>
    </xf>
    <xf numFmtId="2" fontId="1" fillId="5" borderId="9" xfId="0" applyNumberFormat="1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left" vertical="center"/>
    </xf>
    <xf numFmtId="0" fontId="1" fillId="10" borderId="20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2" fontId="1" fillId="6" borderId="43" xfId="0" applyNumberFormat="1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left" vertical="center"/>
    </xf>
    <xf numFmtId="0" fontId="2" fillId="6" borderId="43" xfId="0" applyFont="1" applyFill="1" applyBorder="1" applyAlignment="1">
      <alignment horizontal="left" vertical="center"/>
    </xf>
    <xf numFmtId="2" fontId="1" fillId="8" borderId="44" xfId="0" applyNumberFormat="1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/>
    </xf>
    <xf numFmtId="2" fontId="1" fillId="6" borderId="34" xfId="0" applyNumberFormat="1" applyFont="1" applyFill="1" applyBorder="1" applyAlignment="1">
      <alignment horizontal="center" vertical="center"/>
    </xf>
    <xf numFmtId="2" fontId="1" fillId="12" borderId="50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43" xfId="0" applyNumberFormat="1" applyFont="1" applyFill="1" applyBorder="1" applyAlignment="1" applyProtection="1">
      <alignment horizontal="center" vertical="center"/>
      <protection locked="0"/>
    </xf>
    <xf numFmtId="2" fontId="1" fillId="7" borderId="43" xfId="0" applyNumberFormat="1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left" vertical="center"/>
    </xf>
    <xf numFmtId="0" fontId="1" fillId="7" borderId="43" xfId="0" applyFont="1" applyFill="1" applyBorder="1" applyAlignment="1">
      <alignment horizontal="center" vertical="center"/>
    </xf>
    <xf numFmtId="2" fontId="1" fillId="7" borderId="43" xfId="0" applyNumberFormat="1" applyFont="1" applyFill="1" applyBorder="1" applyAlignment="1" applyProtection="1">
      <alignment horizontal="center" vertical="center"/>
    </xf>
    <xf numFmtId="2" fontId="1" fillId="7" borderId="19" xfId="0" applyNumberFormat="1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 applyProtection="1">
      <alignment horizontal="center" vertical="center"/>
    </xf>
    <xf numFmtId="2" fontId="1" fillId="6" borderId="4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 applyProtection="1">
      <alignment horizontal="center" vertical="center"/>
    </xf>
    <xf numFmtId="2" fontId="1" fillId="6" borderId="9" xfId="0" applyNumberFormat="1" applyFont="1" applyFill="1" applyBorder="1" applyAlignment="1">
      <alignment horizontal="center" vertical="center"/>
    </xf>
    <xf numFmtId="2" fontId="1" fillId="6" borderId="46" xfId="0" applyNumberFormat="1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left" vertical="center"/>
    </xf>
    <xf numFmtId="2" fontId="1" fillId="8" borderId="48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2" fontId="1" fillId="8" borderId="43" xfId="0" applyNumberFormat="1" applyFont="1" applyFill="1" applyBorder="1" applyAlignment="1" applyProtection="1">
      <alignment horizontal="center" vertical="center"/>
    </xf>
    <xf numFmtId="2" fontId="1" fillId="8" borderId="3" xfId="0" applyNumberFormat="1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2" fontId="1" fillId="8" borderId="8" xfId="0" applyNumberFormat="1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left" vertical="center"/>
    </xf>
    <xf numFmtId="0" fontId="2" fillId="8" borderId="24" xfId="0" applyFont="1" applyFill="1" applyBorder="1" applyAlignment="1">
      <alignment horizontal="left" vertical="center"/>
    </xf>
    <xf numFmtId="0" fontId="2" fillId="8" borderId="2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38" xfId="0" applyFont="1" applyFill="1" applyBorder="1" applyAlignment="1">
      <alignment horizontal="left" vertical="center"/>
    </xf>
    <xf numFmtId="2" fontId="1" fillId="5" borderId="12" xfId="0" applyNumberFormat="1" applyFont="1" applyFill="1" applyBorder="1" applyAlignment="1">
      <alignment horizontal="center" vertical="center"/>
    </xf>
    <xf numFmtId="2" fontId="1" fillId="5" borderId="37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2" fillId="8" borderId="7" xfId="0" applyFont="1" applyFill="1" applyBorder="1" applyAlignment="1">
      <alignment horizontal="left" vertical="center"/>
    </xf>
    <xf numFmtId="0" fontId="1" fillId="9" borderId="20" xfId="0" applyFont="1" applyFill="1" applyBorder="1" applyAlignment="1">
      <alignment horizontal="right" vertical="center"/>
    </xf>
    <xf numFmtId="0" fontId="1" fillId="9" borderId="21" xfId="0" applyFont="1" applyFill="1" applyBorder="1" applyAlignment="1">
      <alignment horizontal="right" vertical="center"/>
    </xf>
    <xf numFmtId="0" fontId="1" fillId="11" borderId="20" xfId="0" applyFont="1" applyFill="1" applyBorder="1" applyAlignment="1">
      <alignment horizontal="right" vertical="center"/>
    </xf>
    <xf numFmtId="0" fontId="1" fillId="11" borderId="21" xfId="0" applyFont="1" applyFill="1" applyBorder="1" applyAlignment="1">
      <alignment horizontal="right" vertical="center"/>
    </xf>
    <xf numFmtId="0" fontId="1" fillId="9" borderId="20" xfId="0" applyFont="1" applyFill="1" applyBorder="1" applyAlignment="1">
      <alignment horizontal="left" vertical="center"/>
    </xf>
    <xf numFmtId="0" fontId="1" fillId="9" borderId="21" xfId="0" applyFont="1" applyFill="1" applyBorder="1" applyAlignment="1">
      <alignment horizontal="left" vertical="center"/>
    </xf>
    <xf numFmtId="0" fontId="1" fillId="10" borderId="20" xfId="0" applyFont="1" applyFill="1" applyBorder="1" applyAlignment="1">
      <alignment horizontal="left" vertical="center"/>
    </xf>
    <xf numFmtId="0" fontId="1" fillId="10" borderId="21" xfId="0" applyFont="1" applyFill="1" applyBorder="1" applyAlignment="1">
      <alignment horizontal="left" vertical="center"/>
    </xf>
    <xf numFmtId="0" fontId="1" fillId="12" borderId="20" xfId="0" applyFont="1" applyFill="1" applyBorder="1" applyAlignment="1">
      <alignment horizontal="left" vertical="center"/>
    </xf>
    <xf numFmtId="0" fontId="1" fillId="12" borderId="22" xfId="0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right" vertical="center"/>
    </xf>
    <xf numFmtId="0" fontId="1" fillId="9" borderId="49" xfId="0" applyFont="1" applyFill="1" applyBorder="1" applyAlignment="1">
      <alignment horizontal="right" vertical="center"/>
    </xf>
    <xf numFmtId="2" fontId="1" fillId="5" borderId="3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5" borderId="8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8" borderId="28" xfId="0" applyFont="1" applyFill="1" applyBorder="1" applyAlignment="1">
      <alignment horizontal="left" vertical="center"/>
    </xf>
    <xf numFmtId="2" fontId="1" fillId="8" borderId="10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left" vertical="center"/>
    </xf>
    <xf numFmtId="0" fontId="2" fillId="8" borderId="38" xfId="0" applyFont="1" applyFill="1" applyBorder="1" applyAlignment="1">
      <alignment horizontal="left" vertical="center"/>
    </xf>
    <xf numFmtId="2" fontId="1" fillId="8" borderId="12" xfId="0" applyNumberFormat="1" applyFont="1" applyFill="1" applyBorder="1" applyAlignment="1">
      <alignment horizontal="center" vertical="center"/>
    </xf>
    <xf numFmtId="2" fontId="1" fillId="8" borderId="37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left" vertical="center"/>
    </xf>
    <xf numFmtId="2" fontId="1" fillId="5" borderId="43" xfId="0" applyNumberFormat="1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2" fontId="1" fillId="8" borderId="43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2" fontId="1" fillId="6" borderId="46" xfId="0" applyNumberFormat="1" applyFont="1" applyFill="1" applyBorder="1" applyAlignment="1">
      <alignment horizontal="center" vertical="center"/>
    </xf>
    <xf numFmtId="2" fontId="1" fillId="6" borderId="19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2" fontId="1" fillId="6" borderId="12" xfId="0" applyNumberFormat="1" applyFont="1" applyFill="1" applyBorder="1" applyAlignment="1">
      <alignment horizontal="center" vertical="center"/>
    </xf>
    <xf numFmtId="2" fontId="1" fillId="6" borderId="43" xfId="0" applyNumberFormat="1" applyFont="1" applyFill="1" applyBorder="1" applyAlignment="1">
      <alignment horizontal="center" vertical="center"/>
    </xf>
    <xf numFmtId="2" fontId="1" fillId="6" borderId="12" xfId="0" applyNumberFormat="1" applyFont="1" applyFill="1" applyBorder="1" applyAlignment="1" applyProtection="1">
      <alignment horizontal="center" vertical="center"/>
    </xf>
    <xf numFmtId="2" fontId="1" fillId="6" borderId="43" xfId="0" applyNumberFormat="1" applyFont="1" applyFill="1" applyBorder="1" applyAlignment="1" applyProtection="1">
      <alignment horizontal="center" vertical="center"/>
    </xf>
    <xf numFmtId="2" fontId="1" fillId="5" borderId="36" xfId="0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43" xfId="0" applyFont="1" applyFill="1" applyBorder="1" applyAlignment="1">
      <alignment horizontal="left" vertical="center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43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left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12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colors>
    <mruColors>
      <color rgb="FF2BF560"/>
      <color rgb="FF0000FF"/>
      <color rgb="FFE864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9524</xdr:rowOff>
    </xdr:from>
    <xdr:to>
      <xdr:col>8</xdr:col>
      <xdr:colOff>14175</xdr:colOff>
      <xdr:row>3</xdr:row>
      <xdr:rowOff>14024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xmlns="" id="{0EBA6EA3-1261-4FC8-97A4-C2CC7BF516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67175" y="9524"/>
          <a:ext cx="900000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9524</xdr:rowOff>
    </xdr:from>
    <xdr:to>
      <xdr:col>8</xdr:col>
      <xdr:colOff>14175</xdr:colOff>
      <xdr:row>3</xdr:row>
      <xdr:rowOff>14024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xmlns="" id="{8D419BDB-8501-41BF-8BA8-5ED94ECF1D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67175" y="9524"/>
          <a:ext cx="900000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9524</xdr:rowOff>
    </xdr:from>
    <xdr:to>
      <xdr:col>8</xdr:col>
      <xdr:colOff>14175</xdr:colOff>
      <xdr:row>3</xdr:row>
      <xdr:rowOff>14024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xmlns="" id="{2F4C5765-B513-40F5-B5C0-8B962CF29A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00625" y="9524"/>
          <a:ext cx="900000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9524</xdr:rowOff>
    </xdr:from>
    <xdr:to>
      <xdr:col>8</xdr:col>
      <xdr:colOff>14175</xdr:colOff>
      <xdr:row>3</xdr:row>
      <xdr:rowOff>14024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xmlns="" id="{D6377226-E0D0-43E4-8634-9EAD5AA05A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91050" y="9524"/>
          <a:ext cx="900000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9524</xdr:rowOff>
    </xdr:from>
    <xdr:to>
      <xdr:col>8</xdr:col>
      <xdr:colOff>14175</xdr:colOff>
      <xdr:row>3</xdr:row>
      <xdr:rowOff>14024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xmlns="" id="{2A6D0127-46EE-4EAE-B436-4FC5F22785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00650" y="9524"/>
          <a:ext cx="900000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21"/>
  <sheetViews>
    <sheetView workbookViewId="0">
      <selection activeCell="G9" sqref="G9"/>
    </sheetView>
  </sheetViews>
  <sheetFormatPr baseColWidth="10" defaultRowHeight="15"/>
  <cols>
    <col min="1" max="1" width="2.85546875" style="1" customWidth="1"/>
    <col min="2" max="2" width="11.5703125" style="1" bestFit="1" customWidth="1"/>
    <col min="3" max="3" width="10.5703125" style="1" bestFit="1" customWidth="1"/>
    <col min="4" max="4" width="9.28515625" style="1" customWidth="1"/>
    <col min="5" max="5" width="13.5703125" style="1" bestFit="1" customWidth="1"/>
    <col min="6" max="6" width="7" style="1" bestFit="1" customWidth="1"/>
    <col min="7" max="7" width="6.140625" style="1" bestFit="1" customWidth="1"/>
    <col min="8" max="8" width="9.5703125" style="1" bestFit="1" customWidth="1"/>
    <col min="9" max="9" width="11.28515625" style="1" bestFit="1" customWidth="1"/>
    <col min="10" max="10" width="8.7109375" style="1" customWidth="1"/>
    <col min="11" max="11" width="11.7109375" style="1" customWidth="1"/>
    <col min="12" max="12" width="10.7109375" style="1" customWidth="1"/>
    <col min="13" max="13" width="9.85546875" style="1" bestFit="1" customWidth="1"/>
    <col min="14" max="14" width="19.140625" style="1" bestFit="1" customWidth="1"/>
    <col min="15" max="15" width="7" style="1" bestFit="1" customWidth="1"/>
    <col min="16" max="16" width="6.140625" style="1" bestFit="1" customWidth="1"/>
    <col min="17" max="17" width="9.5703125" style="1" customWidth="1"/>
    <col min="18" max="18" width="11.28515625" style="1" bestFit="1" customWidth="1"/>
    <col min="19" max="19" width="8.7109375" style="1" customWidth="1"/>
    <col min="20" max="16384" width="11.42578125" style="1"/>
  </cols>
  <sheetData>
    <row r="1" spans="2:19" ht="15" customHeight="1">
      <c r="F1" s="71"/>
      <c r="G1" s="71"/>
      <c r="I1" s="139" t="s">
        <v>124</v>
      </c>
      <c r="J1" s="139"/>
      <c r="K1" s="139"/>
      <c r="L1" s="139"/>
      <c r="M1" s="71"/>
      <c r="N1" s="71"/>
    </row>
    <row r="2" spans="2:19" ht="15" customHeight="1">
      <c r="F2" s="71"/>
      <c r="G2" s="71"/>
      <c r="H2" s="71"/>
      <c r="I2" s="139" t="s">
        <v>125</v>
      </c>
      <c r="J2" s="139"/>
      <c r="K2" s="139"/>
      <c r="L2" s="139"/>
      <c r="M2" s="71"/>
      <c r="N2" s="71"/>
    </row>
    <row r="3" spans="2:19" ht="15" customHeight="1">
      <c r="F3" s="71"/>
      <c r="G3" s="71"/>
      <c r="H3" s="71"/>
      <c r="I3" s="139" t="s">
        <v>126</v>
      </c>
      <c r="J3" s="139"/>
      <c r="K3" s="139"/>
      <c r="L3" s="139"/>
      <c r="M3" s="71"/>
      <c r="N3" s="71"/>
    </row>
    <row r="4" spans="2:19" ht="9.9499999999999993" customHeight="1" thickBot="1"/>
    <row r="5" spans="2:19" ht="21" thickBot="1">
      <c r="E5" s="140" t="s">
        <v>40</v>
      </c>
      <c r="F5" s="141"/>
      <c r="G5" s="141"/>
      <c r="H5" s="141"/>
      <c r="I5" s="141"/>
      <c r="J5" s="141"/>
      <c r="K5" s="141"/>
      <c r="L5" s="141"/>
      <c r="M5" s="141"/>
      <c r="N5" s="142"/>
    </row>
    <row r="6" spans="2:19" ht="9.9499999999999993" customHeight="1" thickBot="1"/>
    <row r="7" spans="2:19" ht="15.75" thickBot="1">
      <c r="B7" s="148" t="s">
        <v>9</v>
      </c>
      <c r="C7" s="149"/>
      <c r="D7" s="149"/>
      <c r="E7" s="149"/>
      <c r="F7" s="149"/>
      <c r="G7" s="149"/>
      <c r="H7" s="149"/>
      <c r="I7" s="149"/>
      <c r="J7" s="150"/>
      <c r="K7" s="151" t="s">
        <v>10</v>
      </c>
      <c r="L7" s="152"/>
      <c r="M7" s="152"/>
      <c r="N7" s="152"/>
      <c r="O7" s="152"/>
      <c r="P7" s="152"/>
      <c r="Q7" s="152"/>
      <c r="R7" s="152"/>
      <c r="S7" s="153"/>
    </row>
    <row r="8" spans="2:19" ht="26.25" thickBot="1">
      <c r="B8" s="18" t="s">
        <v>27</v>
      </c>
      <c r="C8" s="47" t="s">
        <v>113</v>
      </c>
      <c r="D8" s="47" t="s">
        <v>114</v>
      </c>
      <c r="E8" s="19" t="s">
        <v>28</v>
      </c>
      <c r="F8" s="47" t="s">
        <v>109</v>
      </c>
      <c r="G8" s="47" t="s">
        <v>110</v>
      </c>
      <c r="H8" s="47" t="s">
        <v>121</v>
      </c>
      <c r="I8" s="47" t="s">
        <v>112</v>
      </c>
      <c r="J8" s="48" t="s">
        <v>111</v>
      </c>
      <c r="K8" s="20" t="s">
        <v>27</v>
      </c>
      <c r="L8" s="53" t="s">
        <v>113</v>
      </c>
      <c r="M8" s="53" t="s">
        <v>115</v>
      </c>
      <c r="N8" s="21" t="s">
        <v>28</v>
      </c>
      <c r="O8" s="47" t="s">
        <v>109</v>
      </c>
      <c r="P8" s="47" t="s">
        <v>110</v>
      </c>
      <c r="Q8" s="47" t="s">
        <v>121</v>
      </c>
      <c r="R8" s="53" t="s">
        <v>112</v>
      </c>
      <c r="S8" s="54" t="s">
        <v>116</v>
      </c>
    </row>
    <row r="9" spans="2:19">
      <c r="B9" s="154" t="s">
        <v>0</v>
      </c>
      <c r="C9" s="133">
        <f>(I9*3+I10*3+I11*3)/9</f>
        <v>8.48</v>
      </c>
      <c r="D9" s="133">
        <f>IF(C9&gt;=10,18,SUM(J9:J11))</f>
        <v>6</v>
      </c>
      <c r="E9" s="2" t="s">
        <v>11</v>
      </c>
      <c r="F9" s="24">
        <v>3</v>
      </c>
      <c r="G9" s="24">
        <v>12</v>
      </c>
      <c r="H9" s="64"/>
      <c r="I9" s="66">
        <f>IF(F9&gt;=H9,((F9*0.67)+(G9*0.33)),((H9*0.67)+(G9*0.33)))</f>
        <v>5.9700000000000006</v>
      </c>
      <c r="J9" s="26">
        <f>IF(I9&gt;=10,6,0)</f>
        <v>0</v>
      </c>
      <c r="K9" s="136" t="s">
        <v>0</v>
      </c>
      <c r="L9" s="133">
        <f>(R9*3+R10*3+R11*3)/9</f>
        <v>8.5616666666666674</v>
      </c>
      <c r="M9" s="133">
        <f>IF(L9&gt;=10,18,SUM(S9:S11))</f>
        <v>6</v>
      </c>
      <c r="N9" s="2" t="s">
        <v>18</v>
      </c>
      <c r="O9" s="60">
        <v>4</v>
      </c>
      <c r="P9" s="60">
        <v>13</v>
      </c>
      <c r="Q9" s="68"/>
      <c r="R9" s="25">
        <f>IF(O9&gt;=Q9,((O9*0.67)+(P9*0.33)),((Q9*0.67)+(P9*0.33)))</f>
        <v>6.9700000000000006</v>
      </c>
      <c r="S9" s="26">
        <f>IF(R9&gt;=10,6,0)</f>
        <v>0</v>
      </c>
    </row>
    <row r="10" spans="2:19">
      <c r="B10" s="155"/>
      <c r="C10" s="134"/>
      <c r="D10" s="134"/>
      <c r="E10" s="3" t="s">
        <v>12</v>
      </c>
      <c r="F10" s="27">
        <v>7</v>
      </c>
      <c r="G10" s="27">
        <v>12.5</v>
      </c>
      <c r="H10" s="37"/>
      <c r="I10" s="65">
        <f t="shared" ref="I10:I11" si="0">IF(F10&gt;=H10,((F10*0.67)+(G10*0.33)),((H10*0.67)+(G10*0.33)))</f>
        <v>8.8150000000000013</v>
      </c>
      <c r="J10" s="29">
        <f t="shared" ref="J10:J11" si="1">IF(I10&gt;=10,6,0)</f>
        <v>0</v>
      </c>
      <c r="K10" s="137"/>
      <c r="L10" s="134"/>
      <c r="M10" s="134"/>
      <c r="N10" s="3" t="s">
        <v>19</v>
      </c>
      <c r="O10" s="61">
        <v>5.25</v>
      </c>
      <c r="P10" s="61">
        <v>11.75</v>
      </c>
      <c r="Q10" s="63"/>
      <c r="R10" s="28">
        <f t="shared" ref="R10:R11" si="2">IF(O10&gt;=Q10,((O10*0.67)+(P10*0.33)),((Q10*0.67)+(P10*0.33)))</f>
        <v>7.3950000000000005</v>
      </c>
      <c r="S10" s="29">
        <f t="shared" ref="S10:S11" si="3">IF(R10&gt;=10,6,0)</f>
        <v>0</v>
      </c>
    </row>
    <row r="11" spans="2:19" ht="15.75" thickBot="1">
      <c r="B11" s="156"/>
      <c r="C11" s="135"/>
      <c r="D11" s="135"/>
      <c r="E11" s="4" t="s">
        <v>13</v>
      </c>
      <c r="F11" s="30">
        <v>9.5</v>
      </c>
      <c r="G11" s="30">
        <v>13</v>
      </c>
      <c r="H11" s="30"/>
      <c r="I11" s="31">
        <f t="shared" si="0"/>
        <v>10.655000000000001</v>
      </c>
      <c r="J11" s="32">
        <f t="shared" si="1"/>
        <v>6</v>
      </c>
      <c r="K11" s="138"/>
      <c r="L11" s="135"/>
      <c r="M11" s="135"/>
      <c r="N11" s="4" t="s">
        <v>20</v>
      </c>
      <c r="O11" s="62">
        <v>10</v>
      </c>
      <c r="P11" s="62">
        <v>14</v>
      </c>
      <c r="Q11" s="62"/>
      <c r="R11" s="31">
        <f t="shared" si="2"/>
        <v>11.32</v>
      </c>
      <c r="S11" s="32">
        <f t="shared" si="3"/>
        <v>6</v>
      </c>
    </row>
    <row r="12" spans="2:19">
      <c r="B12" s="144" t="s">
        <v>1</v>
      </c>
      <c r="C12" s="146">
        <f>(I12*2+I13+I14)/4</f>
        <v>13.3125</v>
      </c>
      <c r="D12" s="146">
        <f>IF(C12&gt;=10,8,SUM(J12:J14))</f>
        <v>8</v>
      </c>
      <c r="E12" s="5" t="s">
        <v>14</v>
      </c>
      <c r="F12" s="24">
        <v>15</v>
      </c>
      <c r="G12" s="24">
        <v>14</v>
      </c>
      <c r="H12" s="64"/>
      <c r="I12" s="33">
        <f>IF(F12&gt;=H12,((F12*0.5)+(G12*0.5)),((H12*0.5)+(G12*0.5)))</f>
        <v>14.5</v>
      </c>
      <c r="J12" s="34">
        <f>IF(I12&gt;=10,4,0)</f>
        <v>4</v>
      </c>
      <c r="K12" s="144" t="s">
        <v>1</v>
      </c>
      <c r="L12" s="146">
        <f>((R12*2)+R13+R14)/4</f>
        <v>12.875</v>
      </c>
      <c r="M12" s="146">
        <f>IF(L12&gt;=10,8,SUM(S12:S14))</f>
        <v>8</v>
      </c>
      <c r="N12" s="5" t="s">
        <v>21</v>
      </c>
      <c r="O12" s="60">
        <v>14</v>
      </c>
      <c r="P12" s="60">
        <v>13</v>
      </c>
      <c r="Q12" s="68"/>
      <c r="R12" s="33">
        <f>IF(O12&gt;=Q12,((O12*0.5)+(P12*0.5)),((Q12*0.5)+(P12*0.5)))</f>
        <v>13.5</v>
      </c>
      <c r="S12" s="34">
        <f>IF(R12&gt;=10,4,0)</f>
        <v>4</v>
      </c>
    </row>
    <row r="13" spans="2:19">
      <c r="B13" s="145"/>
      <c r="C13" s="147"/>
      <c r="D13" s="147"/>
      <c r="E13" s="6" t="s">
        <v>15</v>
      </c>
      <c r="F13" s="27">
        <v>11</v>
      </c>
      <c r="G13" s="27">
        <v>13</v>
      </c>
      <c r="H13" s="27"/>
      <c r="I13" s="35">
        <f t="shared" ref="I13:I14" si="4">IF(F13&gt;=H13,((F13*0.5)+(G13*0.5)),((H13*0.5)+(G13*0.5)))</f>
        <v>12</v>
      </c>
      <c r="J13" s="36">
        <f>IF(I13&gt;=10,2,0)</f>
        <v>2</v>
      </c>
      <c r="K13" s="145"/>
      <c r="L13" s="147"/>
      <c r="M13" s="147"/>
      <c r="N13" s="6" t="s">
        <v>22</v>
      </c>
      <c r="O13" s="61">
        <v>12.75</v>
      </c>
      <c r="P13" s="61">
        <v>12</v>
      </c>
      <c r="Q13" s="63"/>
      <c r="R13" s="35">
        <f t="shared" ref="R13:R14" si="5">IF(O13&gt;=Q13,((O13*0.5)+(P13*0.5)),((Q13*0.5)+(P13*0.5)))</f>
        <v>12.375</v>
      </c>
      <c r="S13" s="36">
        <f>IF(R13&gt;=10,2,0)</f>
        <v>2</v>
      </c>
    </row>
    <row r="14" spans="2:19" ht="15.75" thickBot="1">
      <c r="B14" s="145"/>
      <c r="C14" s="147"/>
      <c r="D14" s="147"/>
      <c r="E14" s="7" t="s">
        <v>16</v>
      </c>
      <c r="F14" s="37">
        <v>12.5</v>
      </c>
      <c r="G14" s="37">
        <v>12</v>
      </c>
      <c r="H14" s="37"/>
      <c r="I14" s="38">
        <f t="shared" si="4"/>
        <v>12.25</v>
      </c>
      <c r="J14" s="39">
        <f>IF(I14&gt;=10,2,0)</f>
        <v>2</v>
      </c>
      <c r="K14" s="145"/>
      <c r="L14" s="147"/>
      <c r="M14" s="147"/>
      <c r="N14" s="7" t="s">
        <v>23</v>
      </c>
      <c r="O14" s="63">
        <v>11.25</v>
      </c>
      <c r="P14" s="63">
        <v>13</v>
      </c>
      <c r="Q14" s="63"/>
      <c r="R14" s="38">
        <f t="shared" si="5"/>
        <v>12.125</v>
      </c>
      <c r="S14" s="39">
        <f>IF(R14&gt;=10,2,0)</f>
        <v>2</v>
      </c>
    </row>
    <row r="15" spans="2:19" ht="15.75" thickBot="1">
      <c r="B15" s="8" t="s">
        <v>39</v>
      </c>
      <c r="C15" s="22">
        <f>I15</f>
        <v>11</v>
      </c>
      <c r="D15" s="22">
        <f>J15</f>
        <v>2</v>
      </c>
      <c r="E15" s="9" t="s">
        <v>25</v>
      </c>
      <c r="F15" s="40">
        <v>11</v>
      </c>
      <c r="G15" s="41"/>
      <c r="H15" s="40"/>
      <c r="I15" s="41">
        <f>IF(F15&gt;=H15,F15,H15)</f>
        <v>11</v>
      </c>
      <c r="J15" s="42">
        <f>IF(I15&gt;=10,2,0)</f>
        <v>2</v>
      </c>
      <c r="K15" s="10" t="s">
        <v>39</v>
      </c>
      <c r="L15" s="22">
        <f>R15</f>
        <v>11</v>
      </c>
      <c r="M15" s="22">
        <f>S15</f>
        <v>2</v>
      </c>
      <c r="N15" s="9" t="s">
        <v>24</v>
      </c>
      <c r="O15" s="59">
        <v>11</v>
      </c>
      <c r="P15" s="57"/>
      <c r="Q15" s="59"/>
      <c r="R15" s="41">
        <f>IF(O15&gt;=Q15,O15,Q15)</f>
        <v>11</v>
      </c>
      <c r="S15" s="42">
        <f>IF(R15&gt;=10,2,0)</f>
        <v>2</v>
      </c>
    </row>
    <row r="16" spans="2:19" ht="15.75" thickBot="1">
      <c r="B16" s="11" t="s">
        <v>3</v>
      </c>
      <c r="C16" s="23">
        <f>I16</f>
        <v>10</v>
      </c>
      <c r="D16" s="23">
        <f>J16</f>
        <v>2</v>
      </c>
      <c r="E16" s="12" t="s">
        <v>17</v>
      </c>
      <c r="F16" s="40">
        <v>10</v>
      </c>
      <c r="G16" s="46"/>
      <c r="H16" s="40"/>
      <c r="I16" s="46">
        <f>IF(F16&gt;=H16,F16,H16)</f>
        <v>10</v>
      </c>
      <c r="J16" s="43">
        <f>IF(I16&gt;=10,2,0)</f>
        <v>2</v>
      </c>
      <c r="K16" s="13" t="s">
        <v>3</v>
      </c>
      <c r="L16" s="23">
        <f>R16</f>
        <v>10</v>
      </c>
      <c r="M16" s="23">
        <f>S16</f>
        <v>2</v>
      </c>
      <c r="N16" s="12" t="s">
        <v>26</v>
      </c>
      <c r="O16" s="59">
        <v>10</v>
      </c>
      <c r="P16" s="58"/>
      <c r="Q16" s="59"/>
      <c r="R16" s="46">
        <f>IF(O16&gt;=Q16,O16,Q16)</f>
        <v>10</v>
      </c>
      <c r="S16" s="43">
        <f>IF(R16&gt;=10,2,0)</f>
        <v>2</v>
      </c>
    </row>
    <row r="17" spans="2:19" ht="15.75" thickBot="1">
      <c r="B17" s="14"/>
      <c r="C17" s="15" t="s">
        <v>117</v>
      </c>
      <c r="D17" s="44">
        <f>IF(K20&gt;=10,30,(IF(I17&gt;=10,30,SUM(D9:D16))))</f>
        <v>30</v>
      </c>
      <c r="G17" s="157" t="s">
        <v>119</v>
      </c>
      <c r="H17" s="158"/>
      <c r="I17" s="55">
        <f>(C9*9+C12*4+C15+C16)/15</f>
        <v>10.038</v>
      </c>
      <c r="J17" s="16"/>
      <c r="K17" s="14"/>
      <c r="L17" s="15" t="s">
        <v>118</v>
      </c>
      <c r="M17" s="45">
        <f>IF(K20&gt;=10,30,(IF(R17&gt;=10,30,SUM(M9:M16))))</f>
        <v>30</v>
      </c>
      <c r="N17" s="52"/>
      <c r="P17" s="157" t="s">
        <v>120</v>
      </c>
      <c r="Q17" s="158"/>
      <c r="R17" s="55">
        <f>(L9*9+L12*4+L15+L16)/15</f>
        <v>9.9703333333333344</v>
      </c>
      <c r="S17" s="14"/>
    </row>
    <row r="18" spans="2:19" ht="15.75" thickBot="1">
      <c r="B18" s="14"/>
      <c r="C18" s="50"/>
      <c r="D18" s="51"/>
      <c r="F18" s="52"/>
      <c r="G18" s="159" t="s">
        <v>122</v>
      </c>
      <c r="H18" s="160"/>
      <c r="I18" s="67" t="str">
        <f>IF(AND(F9="",F10="",F11="",F12="",F13="",F14="",F15="",F16="",H9="",H10="",H11="",H12="",H13="",H14="",H15="",H16=""),"",IF(OR(H9&gt;F9,H10&gt;F10,H11&gt;F11,H12&gt;F12,H13&gt;F13,H14&gt;F14,H15&gt;F15,H16&gt;F16),"Rattrapage","Normale"))</f>
        <v>Normale</v>
      </c>
      <c r="J18" s="16"/>
      <c r="K18" s="14"/>
      <c r="L18" s="50"/>
      <c r="M18" s="51"/>
      <c r="N18" s="52"/>
      <c r="P18" s="159" t="s">
        <v>123</v>
      </c>
      <c r="Q18" s="160"/>
      <c r="R18" s="67" t="str">
        <f>IF(AND(O9="",O10="",O11="",O12="",O13="",O14="",O15="",O16="",Q9="",Q10="",Q11="",Q12="",Q13="",Q14="",Q15="",Q16=""),"",IF(OR(Q9&gt;O9,Q10&gt;O10,Q11&gt;O11,Q12&gt;O12,Q13&gt;O13,Q14&gt;O14,Q15&gt;O15,Q16&gt;O16),"Rattrapage","Normale"))</f>
        <v>Normale</v>
      </c>
      <c r="S18" s="14"/>
    </row>
    <row r="19" spans="2:19" ht="15.75" thickBot="1">
      <c r="B19" s="14"/>
      <c r="C19" s="50"/>
      <c r="D19" s="51"/>
      <c r="E19" s="52"/>
      <c r="F19" s="52"/>
      <c r="G19" s="52"/>
      <c r="H19" s="52"/>
      <c r="I19" s="51"/>
      <c r="J19" s="16"/>
      <c r="K19" s="14"/>
      <c r="L19" s="52"/>
      <c r="M19" s="51"/>
      <c r="N19" s="52"/>
      <c r="O19" s="52"/>
      <c r="P19" s="52"/>
      <c r="Q19" s="52"/>
      <c r="R19" s="51"/>
      <c r="S19" s="14"/>
    </row>
    <row r="20" spans="2:19" ht="15.75" thickBot="1">
      <c r="B20" s="14"/>
      <c r="C20" s="14"/>
      <c r="D20" s="14"/>
      <c r="E20" s="14"/>
      <c r="F20" s="14"/>
      <c r="G20" s="14"/>
      <c r="H20" s="14"/>
      <c r="I20" s="161" t="s">
        <v>34</v>
      </c>
      <c r="J20" s="162"/>
      <c r="K20" s="55">
        <f>(I17+R17)/2</f>
        <v>10.004166666666666</v>
      </c>
      <c r="L20" s="14"/>
      <c r="M20" s="14"/>
      <c r="N20" s="14"/>
      <c r="O20" s="14"/>
      <c r="P20" s="14"/>
      <c r="Q20" s="14"/>
      <c r="R20" s="14"/>
      <c r="S20" s="14"/>
    </row>
    <row r="21" spans="2:19" ht="16.5" thickBot="1">
      <c r="B21" s="143" t="s">
        <v>127</v>
      </c>
      <c r="C21" s="143"/>
      <c r="D21" s="143"/>
      <c r="E21" s="14"/>
      <c r="F21" s="14"/>
      <c r="G21" s="14"/>
      <c r="H21" s="14"/>
      <c r="I21" s="163" t="s">
        <v>35</v>
      </c>
      <c r="J21" s="164"/>
      <c r="K21" s="56">
        <f>D17+M17</f>
        <v>60</v>
      </c>
      <c r="L21" s="14"/>
      <c r="M21" s="17" t="s">
        <v>29</v>
      </c>
      <c r="N21" s="72" t="str">
        <f>IF(K20&gt;=10,IF(OR(I18="Rattrapage",R18="Rattrapage"),"Admis/ S2","Admis/ S1"),IF(AND(K21&gt;=30,D17&gt;=10,M17&gt;=10),"Admis/Dettes","Ajourné"))</f>
        <v>Admis/ S1</v>
      </c>
      <c r="O21" s="49"/>
      <c r="P21" s="49"/>
      <c r="Q21" s="49"/>
      <c r="R21" s="14"/>
      <c r="S21" s="14"/>
    </row>
  </sheetData>
  <sheetProtection password="CEE9" sheet="1" objects="1" scenarios="1" selectLockedCells="1"/>
  <mergeCells count="25">
    <mergeCell ref="G17:H17"/>
    <mergeCell ref="G18:H18"/>
    <mergeCell ref="B21:D21"/>
    <mergeCell ref="K12:K14"/>
    <mergeCell ref="L12:L14"/>
    <mergeCell ref="B7:J7"/>
    <mergeCell ref="K7:S7"/>
    <mergeCell ref="B12:B14"/>
    <mergeCell ref="C12:C14"/>
    <mergeCell ref="D12:D14"/>
    <mergeCell ref="L9:L11"/>
    <mergeCell ref="M9:M11"/>
    <mergeCell ref="M12:M14"/>
    <mergeCell ref="B9:B11"/>
    <mergeCell ref="P17:Q17"/>
    <mergeCell ref="P18:Q18"/>
    <mergeCell ref="I20:J20"/>
    <mergeCell ref="I21:J21"/>
    <mergeCell ref="C9:C11"/>
    <mergeCell ref="K9:K11"/>
    <mergeCell ref="D9:D11"/>
    <mergeCell ref="I1:L1"/>
    <mergeCell ref="I2:L2"/>
    <mergeCell ref="I3:L3"/>
    <mergeCell ref="E5:N5"/>
  </mergeCells>
  <conditionalFormatting sqref="F9:G14 F15:F16">
    <cfRule type="cellIs" dxfId="123" priority="24" operator="lessThan">
      <formula>10</formula>
    </cfRule>
  </conditionalFormatting>
  <conditionalFormatting sqref="I9:I16">
    <cfRule type="cellIs" dxfId="122" priority="23" operator="lessThan">
      <formula>10</formula>
    </cfRule>
  </conditionalFormatting>
  <conditionalFormatting sqref="C9:C16">
    <cfRule type="cellIs" dxfId="121" priority="22" operator="lessThan">
      <formula>10</formula>
    </cfRule>
  </conditionalFormatting>
  <conditionalFormatting sqref="I17:I19">
    <cfRule type="cellIs" dxfId="120" priority="21" operator="lessThan">
      <formula>10</formula>
    </cfRule>
  </conditionalFormatting>
  <conditionalFormatting sqref="K20">
    <cfRule type="cellIs" dxfId="119" priority="20" operator="lessThan">
      <formula>10</formula>
    </cfRule>
  </conditionalFormatting>
  <conditionalFormatting sqref="L9:L16">
    <cfRule type="cellIs" dxfId="118" priority="18" operator="lessThan">
      <formula>10</formula>
    </cfRule>
  </conditionalFormatting>
  <conditionalFormatting sqref="R17">
    <cfRule type="cellIs" dxfId="117" priority="16" operator="lessThan">
      <formula>10</formula>
    </cfRule>
  </conditionalFormatting>
  <conditionalFormatting sqref="M17:M18">
    <cfRule type="cellIs" dxfId="116" priority="15" operator="lessThan">
      <formula>10</formula>
    </cfRule>
  </conditionalFormatting>
  <conditionalFormatting sqref="N21">
    <cfRule type="containsText" dxfId="115" priority="13" operator="containsText" text="Ajourné">
      <formula>NOT(ISERROR(SEARCH("Ajourné",N21)))</formula>
    </cfRule>
    <cfRule type="containsText" dxfId="114" priority="14" operator="containsText" text="Ajourné">
      <formula>NOT(ISERROR(SEARCH("Ajourné",N21)))</formula>
    </cfRule>
  </conditionalFormatting>
  <conditionalFormatting sqref="O9:Q14">
    <cfRule type="cellIs" dxfId="113" priority="11" operator="lessThan">
      <formula>10</formula>
    </cfRule>
  </conditionalFormatting>
  <conditionalFormatting sqref="O15:O16">
    <cfRule type="cellIs" dxfId="112" priority="10" operator="lessThan">
      <formula>10</formula>
    </cfRule>
  </conditionalFormatting>
  <conditionalFormatting sqref="R9:R16">
    <cfRule type="cellIs" dxfId="111" priority="9" operator="lessThan">
      <formula>10</formula>
    </cfRule>
  </conditionalFormatting>
  <conditionalFormatting sqref="H9:H16">
    <cfRule type="cellIs" dxfId="110" priority="8" operator="lessThan">
      <formula>10</formula>
    </cfRule>
  </conditionalFormatting>
  <conditionalFormatting sqref="I18">
    <cfRule type="cellIs" dxfId="109" priority="6" operator="equal">
      <formula>"Rattrapage"</formula>
    </cfRule>
    <cfRule type="containsText" dxfId="108" priority="7" operator="containsText" text="Rattrapage">
      <formula>NOT(ISERROR(SEARCH("Rattrapage",I18)))</formula>
    </cfRule>
  </conditionalFormatting>
  <conditionalFormatting sqref="Q15:Q16">
    <cfRule type="cellIs" dxfId="107" priority="5" operator="lessThan">
      <formula>10</formula>
    </cfRule>
  </conditionalFormatting>
  <conditionalFormatting sqref="R18">
    <cfRule type="cellIs" dxfId="106" priority="3" operator="lessThan">
      <formula>10</formula>
    </cfRule>
  </conditionalFormatting>
  <conditionalFormatting sqref="R18">
    <cfRule type="cellIs" dxfId="105" priority="1" operator="equal">
      <formula>"Rattrapage"</formula>
    </cfRule>
    <cfRule type="containsText" dxfId="104" priority="2" operator="containsText" text="Rattrapage">
      <formula>NOT(ISERROR(SEARCH("Rattrapage",R18)))</formula>
    </cfRule>
  </conditionalFormatting>
  <dataValidations count="1">
    <dataValidation type="decimal" allowBlank="1" showInputMessage="1" showErrorMessage="1" errorTitle="Note non valide" error="La note doit être comprise entre 0 et 20" sqref="O15:O16 Q15:Q16 F9:H14 F15:F16 H15:H16 O9:Q14">
      <formula1>0</formula1>
      <formula2>20</formula2>
    </dataValidation>
  </dataValidations>
  <pageMargins left="0.7" right="0.7" top="0.75" bottom="0.75" header="0.3" footer="0.3"/>
  <pageSetup paperSize="9" orientation="landscape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S24"/>
  <sheetViews>
    <sheetView tabSelected="1" workbookViewId="0">
      <selection activeCell="F9" sqref="F9"/>
    </sheetView>
  </sheetViews>
  <sheetFormatPr baseColWidth="10" defaultRowHeight="15"/>
  <cols>
    <col min="1" max="1" width="3.28515625" style="73" customWidth="1"/>
    <col min="2" max="2" width="11.5703125" style="73" bestFit="1" customWidth="1"/>
    <col min="3" max="3" width="10.5703125" style="73" customWidth="1"/>
    <col min="4" max="4" width="7.28515625" style="73" customWidth="1"/>
    <col min="5" max="5" width="32.85546875" style="73" bestFit="1" customWidth="1"/>
    <col min="6" max="6" width="7" style="73" bestFit="1" customWidth="1"/>
    <col min="7" max="7" width="6.140625" style="73" bestFit="1" customWidth="1"/>
    <col min="8" max="8" width="9.5703125" style="73" bestFit="1" customWidth="1"/>
    <col min="9" max="9" width="11.28515625" style="73" bestFit="1" customWidth="1"/>
    <col min="10" max="10" width="14.7109375" style="73" bestFit="1" customWidth="1"/>
    <col min="11" max="11" width="11.5703125" style="73" bestFit="1" customWidth="1"/>
    <col min="12" max="12" width="10.5703125" style="73" bestFit="1" customWidth="1"/>
    <col min="13" max="13" width="9.85546875" style="73" bestFit="1" customWidth="1"/>
    <col min="14" max="14" width="29" style="73" bestFit="1" customWidth="1"/>
    <col min="15" max="15" width="7" style="73" bestFit="1" customWidth="1"/>
    <col min="16" max="16" width="6.140625" style="73" bestFit="1" customWidth="1"/>
    <col min="17" max="17" width="9.5703125" style="73" bestFit="1" customWidth="1"/>
    <col min="18" max="18" width="11.28515625" style="73" bestFit="1" customWidth="1"/>
    <col min="19" max="19" width="7.5703125" style="73" bestFit="1" customWidth="1"/>
    <col min="20" max="16384" width="11.42578125" style="73"/>
  </cols>
  <sheetData>
    <row r="1" spans="2:19" s="1" customFormat="1" ht="15" customHeight="1">
      <c r="F1" s="71"/>
      <c r="G1" s="71"/>
      <c r="I1" s="139" t="s">
        <v>124</v>
      </c>
      <c r="J1" s="139"/>
      <c r="K1" s="139"/>
      <c r="L1" s="139"/>
      <c r="M1" s="71"/>
      <c r="N1" s="71"/>
    </row>
    <row r="2" spans="2:19" s="1" customFormat="1" ht="15" customHeight="1">
      <c r="F2" s="71"/>
      <c r="G2" s="71"/>
      <c r="H2" s="71"/>
      <c r="I2" s="139" t="s">
        <v>125</v>
      </c>
      <c r="J2" s="139"/>
      <c r="K2" s="139"/>
      <c r="L2" s="139"/>
      <c r="M2" s="71"/>
      <c r="N2" s="71"/>
    </row>
    <row r="3" spans="2:19" s="1" customFormat="1" ht="15" customHeight="1">
      <c r="F3" s="71"/>
      <c r="G3" s="71"/>
      <c r="H3" s="71"/>
      <c r="I3" s="139" t="s">
        <v>126</v>
      </c>
      <c r="J3" s="139"/>
      <c r="K3" s="139"/>
      <c r="L3" s="139"/>
      <c r="M3" s="71"/>
      <c r="N3" s="71"/>
    </row>
    <row r="4" spans="2:19" ht="15.75" thickBot="1"/>
    <row r="5" spans="2:19" ht="21" thickBot="1">
      <c r="E5" s="172" t="s">
        <v>54</v>
      </c>
      <c r="F5" s="173"/>
      <c r="G5" s="173"/>
      <c r="H5" s="173"/>
      <c r="I5" s="173"/>
      <c r="J5" s="173"/>
      <c r="K5" s="173"/>
      <c r="L5" s="173"/>
      <c r="M5" s="173"/>
      <c r="N5" s="174"/>
    </row>
    <row r="6" spans="2:19" ht="15.75" thickBot="1"/>
    <row r="7" spans="2:19" ht="15.75" thickBot="1">
      <c r="B7" s="151" t="s">
        <v>5</v>
      </c>
      <c r="C7" s="152"/>
      <c r="D7" s="152"/>
      <c r="E7" s="152"/>
      <c r="F7" s="152"/>
      <c r="G7" s="152"/>
      <c r="H7" s="152"/>
      <c r="I7" s="152"/>
      <c r="J7" s="153"/>
      <c r="K7" s="151" t="s">
        <v>8</v>
      </c>
      <c r="L7" s="152"/>
      <c r="M7" s="152"/>
      <c r="N7" s="152"/>
      <c r="O7" s="152"/>
      <c r="P7" s="152"/>
      <c r="Q7" s="152"/>
      <c r="R7" s="152"/>
      <c r="S7" s="153"/>
    </row>
    <row r="8" spans="2:19" ht="26.25" thickBot="1">
      <c r="B8" s="20" t="s">
        <v>27</v>
      </c>
      <c r="C8" s="53" t="s">
        <v>113</v>
      </c>
      <c r="D8" s="53" t="s">
        <v>114</v>
      </c>
      <c r="E8" s="21" t="s">
        <v>28</v>
      </c>
      <c r="F8" s="53" t="s">
        <v>109</v>
      </c>
      <c r="G8" s="53" t="s">
        <v>110</v>
      </c>
      <c r="H8" s="53" t="s">
        <v>121</v>
      </c>
      <c r="I8" s="53" t="s">
        <v>112</v>
      </c>
      <c r="J8" s="54" t="s">
        <v>111</v>
      </c>
      <c r="K8" s="20" t="s">
        <v>27</v>
      </c>
      <c r="L8" s="53" t="s">
        <v>113</v>
      </c>
      <c r="M8" s="53" t="s">
        <v>115</v>
      </c>
      <c r="N8" s="21" t="s">
        <v>28</v>
      </c>
      <c r="O8" s="47" t="s">
        <v>109</v>
      </c>
      <c r="P8" s="47" t="s">
        <v>110</v>
      </c>
      <c r="Q8" s="47" t="s">
        <v>121</v>
      </c>
      <c r="R8" s="53" t="s">
        <v>112</v>
      </c>
      <c r="S8" s="54" t="s">
        <v>116</v>
      </c>
    </row>
    <row r="9" spans="2:19">
      <c r="B9" s="178" t="s">
        <v>0</v>
      </c>
      <c r="C9" s="179">
        <f>(I9*3+I10*3+I11*2+I12*2)/10</f>
        <v>9.0392499999999991</v>
      </c>
      <c r="D9" s="179">
        <f>IF(C9&gt;=10,20,SUM(J9:J12))</f>
        <v>0</v>
      </c>
      <c r="E9" s="76" t="s">
        <v>42</v>
      </c>
      <c r="F9" s="88">
        <v>6.25</v>
      </c>
      <c r="G9" s="88">
        <v>10</v>
      </c>
      <c r="H9" s="88"/>
      <c r="I9" s="66">
        <f>IF(F9&gt;=H9,((F9*0.67)+(G9*0.33)),((H9*0.67)+(G9*0.33)))</f>
        <v>7.4875000000000007</v>
      </c>
      <c r="J9" s="78">
        <f>IF(I9&gt;=10,6,0)</f>
        <v>0</v>
      </c>
      <c r="K9" s="154" t="s">
        <v>0</v>
      </c>
      <c r="L9" s="133">
        <f>(R9*3+R10*2+R11*2+R12*2)/9</f>
        <v>8.913333333333334</v>
      </c>
      <c r="M9" s="133">
        <f>IF(L9&gt;=10,18,SUM(S9:S12))</f>
        <v>4</v>
      </c>
      <c r="N9" s="2" t="s">
        <v>6</v>
      </c>
      <c r="O9" s="24">
        <v>8</v>
      </c>
      <c r="P9" s="24">
        <v>11</v>
      </c>
      <c r="Q9" s="24"/>
      <c r="R9" s="66">
        <f>IF(O9&gt;=Q9,((O9*0.67)+(P9*0.33)),((Q9*0.67)+(P9*0.33)))</f>
        <v>8.99</v>
      </c>
      <c r="S9" s="26">
        <f>IF(R9&gt;=10,6,0)</f>
        <v>0</v>
      </c>
    </row>
    <row r="10" spans="2:19">
      <c r="B10" s="155"/>
      <c r="C10" s="134"/>
      <c r="D10" s="134"/>
      <c r="E10" s="3" t="s">
        <v>44</v>
      </c>
      <c r="F10" s="61">
        <v>9</v>
      </c>
      <c r="G10" s="61">
        <v>12</v>
      </c>
      <c r="H10" s="61"/>
      <c r="I10" s="65">
        <f t="shared" ref="I10:I12" si="0">IF(F10&gt;=H10,((F10*0.67)+(G10*0.33)),((H10*0.67)+(G10*0.33)))</f>
        <v>9.99</v>
      </c>
      <c r="J10" s="79">
        <f>IF(I10&gt;=10,6,0)</f>
        <v>0</v>
      </c>
      <c r="K10" s="155"/>
      <c r="L10" s="134"/>
      <c r="M10" s="134"/>
      <c r="N10" s="3" t="s">
        <v>47</v>
      </c>
      <c r="O10" s="27">
        <v>9</v>
      </c>
      <c r="P10" s="27">
        <v>13</v>
      </c>
      <c r="Q10" s="27"/>
      <c r="R10" s="87">
        <f t="shared" ref="R10:R12" si="1">IF(O10&gt;=Q10,((O10*0.67)+(P10*0.33)),((Q10*0.67)+(P10*0.33)))</f>
        <v>10.32</v>
      </c>
      <c r="S10" s="29">
        <f>IF(R10&gt;=10,4,0)</f>
        <v>4</v>
      </c>
    </row>
    <row r="11" spans="2:19">
      <c r="B11" s="155"/>
      <c r="C11" s="134"/>
      <c r="D11" s="134"/>
      <c r="E11" s="3" t="s">
        <v>62</v>
      </c>
      <c r="F11" s="61">
        <v>8</v>
      </c>
      <c r="G11" s="61">
        <v>13</v>
      </c>
      <c r="H11" s="61"/>
      <c r="I11" s="87">
        <f t="shared" si="0"/>
        <v>9.65</v>
      </c>
      <c r="J11" s="79">
        <f>IF(I11&gt;=10,4,0)</f>
        <v>0</v>
      </c>
      <c r="K11" s="155"/>
      <c r="L11" s="134"/>
      <c r="M11" s="134"/>
      <c r="N11" s="3" t="s">
        <v>49</v>
      </c>
      <c r="O11" s="27">
        <v>6</v>
      </c>
      <c r="P11" s="27">
        <v>12</v>
      </c>
      <c r="Q11" s="27"/>
      <c r="R11" s="87">
        <f t="shared" si="1"/>
        <v>7.98</v>
      </c>
      <c r="S11" s="29">
        <f>IF(R11&gt;=10,4,0)</f>
        <v>0</v>
      </c>
    </row>
    <row r="12" spans="2:19" ht="15.75" thickBot="1">
      <c r="B12" s="156"/>
      <c r="C12" s="135"/>
      <c r="D12" s="135"/>
      <c r="E12" s="4" t="s">
        <v>43</v>
      </c>
      <c r="F12" s="62">
        <v>9</v>
      </c>
      <c r="G12" s="62">
        <v>10</v>
      </c>
      <c r="H12" s="62"/>
      <c r="I12" s="86">
        <f t="shared" si="0"/>
        <v>9.33</v>
      </c>
      <c r="J12" s="80">
        <f>IF(I12&gt;=10,4,0)</f>
        <v>0</v>
      </c>
      <c r="K12" s="156"/>
      <c r="L12" s="135"/>
      <c r="M12" s="135"/>
      <c r="N12" s="4" t="s">
        <v>48</v>
      </c>
      <c r="O12" s="30">
        <v>7.5</v>
      </c>
      <c r="P12" s="30">
        <v>10</v>
      </c>
      <c r="Q12" s="30"/>
      <c r="R12" s="86">
        <f t="shared" si="1"/>
        <v>8.3250000000000011</v>
      </c>
      <c r="S12" s="32">
        <f>IF(R12&gt;=10,4,0)</f>
        <v>0</v>
      </c>
    </row>
    <row r="13" spans="2:19">
      <c r="B13" s="175" t="s">
        <v>1</v>
      </c>
      <c r="C13" s="169">
        <f>(I13*2+I14+I15)/4</f>
        <v>12.65625</v>
      </c>
      <c r="D13" s="169">
        <f>IF(C13&gt;=10,7,SUM(J13:J15))</f>
        <v>7</v>
      </c>
      <c r="E13" s="5" t="s">
        <v>45</v>
      </c>
      <c r="F13" s="60">
        <v>12</v>
      </c>
      <c r="G13" s="60">
        <v>13</v>
      </c>
      <c r="H13" s="60"/>
      <c r="I13" s="33">
        <f>IF(F13&gt;=H13,((F13*0.5)+(G13*0.5)),((H13*0.5)+(G13*0.5)))</f>
        <v>12.5</v>
      </c>
      <c r="J13" s="81">
        <f>IF(I13&gt;=10,3,0)</f>
        <v>3</v>
      </c>
      <c r="K13" s="175" t="s">
        <v>1</v>
      </c>
      <c r="L13" s="169">
        <f>(R13*2+R14*2+R15)/5</f>
        <v>10.925000000000001</v>
      </c>
      <c r="M13" s="169">
        <f>IF(L13&gt;=10,8,SUM(S13:S15))</f>
        <v>8</v>
      </c>
      <c r="N13" s="5" t="s">
        <v>50</v>
      </c>
      <c r="O13" s="24">
        <v>10</v>
      </c>
      <c r="P13" s="24">
        <v>10.75</v>
      </c>
      <c r="Q13" s="24"/>
      <c r="R13" s="33">
        <f>IF(O13&gt;=Q13,((O13*0.5)+(P13*0.5)),((Q13*0.5)+(P13*0.5)))</f>
        <v>10.375</v>
      </c>
      <c r="S13" s="34">
        <f>IF(R13&gt;=10,3,0)</f>
        <v>3</v>
      </c>
    </row>
    <row r="14" spans="2:19">
      <c r="B14" s="176"/>
      <c r="C14" s="170"/>
      <c r="D14" s="170"/>
      <c r="E14" s="6" t="s">
        <v>55</v>
      </c>
      <c r="F14" s="61">
        <v>12.5</v>
      </c>
      <c r="G14" s="61">
        <v>13</v>
      </c>
      <c r="H14" s="61"/>
      <c r="I14" s="35">
        <f t="shared" ref="I14:I15" si="2">IF(F14&gt;=H14,((F14*0.5)+(G14*0.5)),((H14*0.5)+(G14*0.5)))</f>
        <v>12.75</v>
      </c>
      <c r="J14" s="82">
        <f>IF(I14&gt;=10,2,0)</f>
        <v>2</v>
      </c>
      <c r="K14" s="176"/>
      <c r="L14" s="170"/>
      <c r="M14" s="170"/>
      <c r="N14" s="6" t="s">
        <v>51</v>
      </c>
      <c r="O14" s="27">
        <v>9.25</v>
      </c>
      <c r="P14" s="27">
        <v>12</v>
      </c>
      <c r="Q14" s="27"/>
      <c r="R14" s="94">
        <f t="shared" ref="R14:R15" si="3">IF(O14&gt;=Q14,((O14*0.5)+(P14*0.5)),((Q14*0.5)+(P14*0.5)))</f>
        <v>10.625</v>
      </c>
      <c r="S14" s="36">
        <f>IF(R14&gt;=10,3,0)</f>
        <v>3</v>
      </c>
    </row>
    <row r="15" spans="2:19" ht="15.75" thickBot="1">
      <c r="B15" s="177"/>
      <c r="C15" s="171"/>
      <c r="D15" s="171"/>
      <c r="E15" s="77" t="s">
        <v>46</v>
      </c>
      <c r="F15" s="62">
        <v>12</v>
      </c>
      <c r="G15" s="62">
        <v>13.75</v>
      </c>
      <c r="H15" s="62"/>
      <c r="I15" s="38">
        <f t="shared" si="2"/>
        <v>12.875</v>
      </c>
      <c r="J15" s="83">
        <f>IF(I15&gt;=10,2,0)</f>
        <v>2</v>
      </c>
      <c r="K15" s="177"/>
      <c r="L15" s="171"/>
      <c r="M15" s="171"/>
      <c r="N15" s="77" t="s">
        <v>52</v>
      </c>
      <c r="O15" s="30">
        <v>13</v>
      </c>
      <c r="P15" s="30">
        <v>12.25</v>
      </c>
      <c r="Q15" s="30"/>
      <c r="R15" s="98">
        <f t="shared" si="3"/>
        <v>12.625</v>
      </c>
      <c r="S15" s="99">
        <f t="shared" ref="S15" si="4">IF(R15&gt;=10,2,0)</f>
        <v>2</v>
      </c>
    </row>
    <row r="16" spans="2:19" ht="15.75" thickBot="1">
      <c r="B16" s="75" t="s">
        <v>3</v>
      </c>
      <c r="C16" s="23">
        <f>I16</f>
        <v>10</v>
      </c>
      <c r="D16" s="23">
        <f>J16</f>
        <v>2</v>
      </c>
      <c r="E16" s="12" t="s">
        <v>41</v>
      </c>
      <c r="F16" s="59">
        <v>10</v>
      </c>
      <c r="G16" s="58"/>
      <c r="H16" s="59"/>
      <c r="I16" s="46">
        <f>IF(F16&gt;=H16,F16,H16)</f>
        <v>10</v>
      </c>
      <c r="J16" s="84">
        <f>IF(I16&gt;=10,2,0)</f>
        <v>2</v>
      </c>
      <c r="K16" s="75" t="s">
        <v>3</v>
      </c>
      <c r="L16" s="23">
        <f>R16</f>
        <v>10</v>
      </c>
      <c r="M16" s="23">
        <f>S16</f>
        <v>3</v>
      </c>
      <c r="N16" s="12" t="s">
        <v>53</v>
      </c>
      <c r="O16" s="40">
        <v>10</v>
      </c>
      <c r="P16" s="93"/>
      <c r="Q16" s="40"/>
      <c r="R16" s="46">
        <f>IF(O16&gt;=Q16,O16,Q16)</f>
        <v>10</v>
      </c>
      <c r="S16" s="43">
        <f>IF(R16&gt;=10,3,0)</f>
        <v>3</v>
      </c>
    </row>
    <row r="17" spans="2:19" ht="15.75" thickBot="1">
      <c r="B17" s="92" t="s">
        <v>4</v>
      </c>
      <c r="C17" s="22">
        <f>I17</f>
        <v>10</v>
      </c>
      <c r="D17" s="22">
        <f>J17</f>
        <v>1</v>
      </c>
      <c r="E17" s="9" t="s">
        <v>2</v>
      </c>
      <c r="F17" s="59">
        <v>10</v>
      </c>
      <c r="G17" s="57"/>
      <c r="H17" s="59"/>
      <c r="I17" s="41">
        <f>IF(F17&gt;=H17,F17,H17)</f>
        <v>10</v>
      </c>
      <c r="J17" s="42">
        <f>IF(I17&gt;=10,1,0)</f>
        <v>1</v>
      </c>
      <c r="K17" s="92" t="s">
        <v>4</v>
      </c>
      <c r="L17" s="22">
        <f>R17</f>
        <v>16</v>
      </c>
      <c r="M17" s="22">
        <f>S17</f>
        <v>1</v>
      </c>
      <c r="N17" s="9" t="s">
        <v>7</v>
      </c>
      <c r="O17" s="40">
        <v>16</v>
      </c>
      <c r="P17" s="95"/>
      <c r="Q17" s="40"/>
      <c r="R17" s="41">
        <f>IF(O17&gt;=Q17,O17,Q17)</f>
        <v>16</v>
      </c>
      <c r="S17" s="42">
        <f>IF(R17&gt;=10,1,0)</f>
        <v>1</v>
      </c>
    </row>
    <row r="18" spans="2:19" ht="15.75" thickBot="1">
      <c r="C18" s="15" t="s">
        <v>30</v>
      </c>
      <c r="D18" s="45">
        <f>IF(K20&gt;=10,30,(IF(I18&gt;=10,30,SUM(D9:D17))))</f>
        <v>30</v>
      </c>
      <c r="F18" s="90"/>
      <c r="G18" s="167" t="s">
        <v>31</v>
      </c>
      <c r="H18" s="168"/>
      <c r="I18" s="91">
        <f>(C9*10+C13*4+C16*2+C17)/17</f>
        <v>10.059852941176469</v>
      </c>
      <c r="J18" s="16"/>
      <c r="K18" s="14"/>
      <c r="L18" s="15" t="s">
        <v>32</v>
      </c>
      <c r="M18" s="45">
        <f>IF(K20&gt;=10,30,(IF(R18&gt;=10,30,SUM(M9:M17))))</f>
        <v>30</v>
      </c>
      <c r="O18" s="52"/>
      <c r="P18" s="167" t="s">
        <v>33</v>
      </c>
      <c r="Q18" s="168"/>
      <c r="R18" s="91">
        <f>(L9*9+L13*5+L16*2+L17)/17</f>
        <v>10.04970588235294</v>
      </c>
    </row>
    <row r="19" spans="2:19" ht="15.75" thickBot="1">
      <c r="C19" s="50"/>
      <c r="D19" s="51"/>
      <c r="F19" s="90"/>
      <c r="G19" s="159" t="s">
        <v>128</v>
      </c>
      <c r="H19" s="160"/>
      <c r="I19" s="67" t="str">
        <f>IF(AND(F9="",F10="",F11="",F12="",F13="",F14="",F15="",F16="",F17="",H9="",H10="",H11="",H12="",H13="",H14="",H15="",H16="",H17=""),"",IF(OR(H9&gt;F9,H10&gt;F10,H11&gt;F11,H12&gt;F12,H13&gt;F13,H14&gt;F14,H15&gt;F15,H16&gt;F16,H17&gt;F17),"Rattrapage","Normale"))</f>
        <v>Normale</v>
      </c>
      <c r="J19" s="16"/>
      <c r="K19" s="14"/>
      <c r="L19" s="50"/>
      <c r="M19" s="51"/>
      <c r="N19" s="52"/>
      <c r="O19" s="52"/>
      <c r="P19" s="159" t="s">
        <v>129</v>
      </c>
      <c r="Q19" s="160"/>
      <c r="R19" s="67" t="str">
        <f>IF(AND(O9="",O10="",O11="",O12="",O13="",O14="",O15="",O16="",O17="",Q9="",Q10="",Q11="",Q12="",Q13="",Q14="",Q15="",Q16="",Q17=""),"",IF(OR(Q9&gt;O9,Q10&gt;O10,Q11&gt;O11,Q12&gt;O12,Q13&gt;O13,Q14&gt;O14,Q15&gt;O15,Q16&gt;O16,Q17&gt;O17),"Rattrapage","Normale"))</f>
        <v>Normale</v>
      </c>
    </row>
    <row r="20" spans="2:19" ht="15.75" thickBot="1">
      <c r="C20" s="14"/>
      <c r="D20" s="14"/>
      <c r="E20" s="14"/>
      <c r="F20" s="89"/>
      <c r="G20" s="14"/>
      <c r="H20" s="14"/>
      <c r="I20" s="14"/>
      <c r="J20" s="69" t="s">
        <v>36</v>
      </c>
      <c r="K20" s="55">
        <f>(I18+R18)/2</f>
        <v>10.054779411764706</v>
      </c>
      <c r="L20" s="14"/>
      <c r="M20" s="14"/>
      <c r="N20" s="14"/>
      <c r="O20" s="14"/>
      <c r="P20" s="14"/>
      <c r="Q20" s="14"/>
      <c r="R20" s="14"/>
    </row>
    <row r="21" spans="2:19" ht="15.75" thickBot="1">
      <c r="C21" s="14"/>
      <c r="D21" s="14"/>
      <c r="E21" s="14"/>
      <c r="F21" s="14"/>
      <c r="G21" s="14"/>
      <c r="H21" s="14"/>
      <c r="I21" s="14"/>
      <c r="J21" s="70" t="s">
        <v>37</v>
      </c>
      <c r="K21" s="56">
        <f>D18+M18</f>
        <v>60</v>
      </c>
      <c r="L21" s="14"/>
      <c r="M21" s="17" t="s">
        <v>29</v>
      </c>
      <c r="N21" s="85" t="str">
        <f>IF(K22=120,IF(OR(I19="Rattrapage",R19="Rattrapage",'Relevé 1ère année SM'!N21="Admis/ S2"),"Admis/ S2","Admis/ S1"),IF(AND(K22&gt;=90,D18&gt;=10,M18&gt;=10),"Admis/Dettes","Ajourné"))</f>
        <v>Admis/ S1</v>
      </c>
      <c r="O21" s="49"/>
      <c r="P21" s="49"/>
      <c r="Q21" s="49"/>
      <c r="R21" s="14"/>
    </row>
    <row r="22" spans="2:19" ht="15.75" thickBot="1">
      <c r="B22" s="143" t="s">
        <v>127</v>
      </c>
      <c r="C22" s="143"/>
      <c r="D22" s="143"/>
      <c r="E22" s="14"/>
      <c r="F22" s="14"/>
      <c r="G22" s="14"/>
      <c r="H22" s="14"/>
      <c r="I22" s="14"/>
      <c r="J22" s="70" t="s">
        <v>38</v>
      </c>
      <c r="K22" s="56">
        <f>K21+'Relevé 1ère année SM'!K21</f>
        <v>120</v>
      </c>
      <c r="L22" s="14"/>
      <c r="M22" s="165" t="s">
        <v>137</v>
      </c>
      <c r="N22" s="166"/>
      <c r="O22" s="110">
        <f>(K20+'Relevé 1ère année SM'!K20)/2</f>
        <v>10.029473039215686</v>
      </c>
      <c r="P22" s="14"/>
      <c r="Q22" s="14"/>
      <c r="R22" s="14"/>
    </row>
    <row r="24" spans="2:19">
      <c r="C24" s="74"/>
    </row>
  </sheetData>
  <sheetProtection password="CEE9" sheet="1" objects="1" scenarios="1" selectLockedCells="1"/>
  <mergeCells count="24">
    <mergeCell ref="D9:D12"/>
    <mergeCell ref="K9:K12"/>
    <mergeCell ref="L9:L12"/>
    <mergeCell ref="K7:S7"/>
    <mergeCell ref="M9:M12"/>
    <mergeCell ref="P18:Q18"/>
    <mergeCell ref="B22:D22"/>
    <mergeCell ref="I1:L1"/>
    <mergeCell ref="I2:L2"/>
    <mergeCell ref="I3:L3"/>
    <mergeCell ref="E5:N5"/>
    <mergeCell ref="B7:J7"/>
    <mergeCell ref="B13:B15"/>
    <mergeCell ref="C13:C15"/>
    <mergeCell ref="D13:D15"/>
    <mergeCell ref="K13:K15"/>
    <mergeCell ref="L13:L15"/>
    <mergeCell ref="B9:B12"/>
    <mergeCell ref="C9:C12"/>
    <mergeCell ref="M22:N22"/>
    <mergeCell ref="P19:Q19"/>
    <mergeCell ref="G18:H18"/>
    <mergeCell ref="G19:H19"/>
    <mergeCell ref="M13:M15"/>
  </mergeCells>
  <conditionalFormatting sqref="I9:I12">
    <cfRule type="cellIs" dxfId="103" priority="25" operator="lessThan">
      <formula>10</formula>
    </cfRule>
  </conditionalFormatting>
  <conditionalFormatting sqref="F9:H15">
    <cfRule type="cellIs" dxfId="102" priority="24" operator="lessThan">
      <formula>10</formula>
    </cfRule>
  </conditionalFormatting>
  <conditionalFormatting sqref="F16:F17">
    <cfRule type="cellIs" dxfId="101" priority="23" operator="lessThan">
      <formula>10</formula>
    </cfRule>
  </conditionalFormatting>
  <conditionalFormatting sqref="H16:H17">
    <cfRule type="cellIs" dxfId="100" priority="22" operator="lessThan">
      <formula>10</formula>
    </cfRule>
  </conditionalFormatting>
  <conditionalFormatting sqref="C9:C17">
    <cfRule type="cellIs" dxfId="99" priority="21" operator="lessThan">
      <formula>10</formula>
    </cfRule>
  </conditionalFormatting>
  <conditionalFormatting sqref="I9:I17">
    <cfRule type="cellIs" dxfId="98" priority="20" operator="lessThan">
      <formula>10</formula>
    </cfRule>
  </conditionalFormatting>
  <conditionalFormatting sqref="I18:I19">
    <cfRule type="cellIs" dxfId="97" priority="19" operator="lessThan">
      <formula>10</formula>
    </cfRule>
  </conditionalFormatting>
  <conditionalFormatting sqref="I19">
    <cfRule type="containsText" dxfId="96" priority="18" operator="containsText" text="Rattrapage">
      <formula>NOT(ISERROR(SEARCH("Rattrapage",I19)))</formula>
    </cfRule>
  </conditionalFormatting>
  <conditionalFormatting sqref="O9:Q15">
    <cfRule type="cellIs" dxfId="95" priority="17" operator="lessThan">
      <formula>10</formula>
    </cfRule>
  </conditionalFormatting>
  <conditionalFormatting sqref="O16:O17">
    <cfRule type="cellIs" dxfId="94" priority="16" operator="lessThan">
      <formula>10</formula>
    </cfRule>
  </conditionalFormatting>
  <conditionalFormatting sqref="Q16:Q17">
    <cfRule type="cellIs" dxfId="93" priority="15" operator="lessThan">
      <formula>10</formula>
    </cfRule>
  </conditionalFormatting>
  <conditionalFormatting sqref="R18">
    <cfRule type="cellIs" dxfId="92" priority="14" operator="lessThan">
      <formula>10</formula>
    </cfRule>
  </conditionalFormatting>
  <conditionalFormatting sqref="L9:L17">
    <cfRule type="cellIs" dxfId="91" priority="10" operator="lessThan">
      <formula>10</formula>
    </cfRule>
  </conditionalFormatting>
  <conditionalFormatting sqref="K20">
    <cfRule type="cellIs" dxfId="90" priority="6" operator="lessThan">
      <formula>10</formula>
    </cfRule>
  </conditionalFormatting>
  <conditionalFormatting sqref="R19">
    <cfRule type="cellIs" dxfId="89" priority="5" operator="lessThan">
      <formula>10</formula>
    </cfRule>
  </conditionalFormatting>
  <conditionalFormatting sqref="R19">
    <cfRule type="containsText" dxfId="88" priority="4" operator="containsText" text="Rattrapage">
      <formula>NOT(ISERROR(SEARCH("Rattrapage",R19)))</formula>
    </cfRule>
  </conditionalFormatting>
  <conditionalFormatting sqref="R9:R17">
    <cfRule type="cellIs" dxfId="87" priority="3" operator="lessThan">
      <formula>10</formula>
    </cfRule>
  </conditionalFormatting>
  <conditionalFormatting sqref="N21">
    <cfRule type="containsText" dxfId="86" priority="2" operator="containsText" text="Ajourné">
      <formula>NOT(ISERROR(SEARCH("Ajourné",N21)))</formula>
    </cfRule>
  </conditionalFormatting>
  <conditionalFormatting sqref="O22">
    <cfRule type="cellIs" dxfId="85" priority="1" operator="lessThan">
      <formula>10</formula>
    </cfRule>
  </conditionalFormatting>
  <dataValidations count="1">
    <dataValidation type="decimal" allowBlank="1" showInputMessage="1" showErrorMessage="1" errorTitle="Note non valide" error="La note doit être comprise entre 0 et 20" sqref="F9:H15 H16:H17 F16:F17 O9:Q15 O16:O17 Q16:Q17">
      <formula1>0</formula1>
      <formula2>20</formula2>
    </dataValidation>
  </dataValidations>
  <pageMargins left="0.7" right="0.7" top="0.75" bottom="0.75" header="0.3" footer="0.3"/>
  <pageSetup paperSize="9" orientation="portrait" horizontalDpi="300" verticalDpi="0" r:id="rId1"/>
  <ignoredErrors>
    <ignoredError sqref="S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S33"/>
  <sheetViews>
    <sheetView workbookViewId="0">
      <selection activeCell="F9" sqref="F9"/>
    </sheetView>
  </sheetViews>
  <sheetFormatPr baseColWidth="10" defaultRowHeight="15"/>
  <cols>
    <col min="1" max="1" width="3.28515625" style="1" customWidth="1"/>
    <col min="2" max="2" width="11.5703125" style="1" bestFit="1" customWidth="1"/>
    <col min="3" max="3" width="10.5703125" style="1" bestFit="1" customWidth="1"/>
    <col min="4" max="4" width="6.140625" style="1" bestFit="1" customWidth="1"/>
    <col min="5" max="5" width="27.85546875" style="1" bestFit="1" customWidth="1"/>
    <col min="6" max="6" width="7" style="1" bestFit="1" customWidth="1"/>
    <col min="7" max="7" width="6.140625" style="1" bestFit="1" customWidth="1"/>
    <col min="8" max="8" width="9.5703125" style="1" bestFit="1" customWidth="1"/>
    <col min="9" max="9" width="11.85546875" style="1" bestFit="1" customWidth="1"/>
    <col min="10" max="10" width="18.7109375" style="1" bestFit="1" customWidth="1"/>
    <col min="11" max="11" width="11.5703125" style="1" bestFit="1" customWidth="1"/>
    <col min="12" max="12" width="10.5703125" style="1" bestFit="1" customWidth="1"/>
    <col min="13" max="13" width="9.85546875" style="1" bestFit="1" customWidth="1"/>
    <col min="14" max="14" width="32.140625" style="1" bestFit="1" customWidth="1"/>
    <col min="15" max="15" width="7" style="1" bestFit="1" customWidth="1"/>
    <col min="16" max="16" width="6.140625" style="1" bestFit="1" customWidth="1"/>
    <col min="17" max="17" width="9.5703125" style="1" bestFit="1" customWidth="1"/>
    <col min="18" max="18" width="11.28515625" style="1" bestFit="1" customWidth="1"/>
    <col min="19" max="19" width="7.5703125" style="1" bestFit="1" customWidth="1"/>
    <col min="20" max="16384" width="11.42578125" style="1"/>
  </cols>
  <sheetData>
    <row r="1" spans="2:19" ht="15" customHeight="1">
      <c r="B1" s="103"/>
      <c r="C1" s="103"/>
      <c r="D1" s="103"/>
      <c r="E1" s="103"/>
      <c r="F1" s="71"/>
      <c r="G1" s="71"/>
      <c r="H1" s="103"/>
      <c r="I1" s="139" t="s">
        <v>124</v>
      </c>
      <c r="J1" s="139"/>
      <c r="K1" s="139"/>
      <c r="L1" s="139"/>
      <c r="M1" s="71"/>
      <c r="N1" s="71"/>
      <c r="O1" s="103"/>
      <c r="P1" s="103"/>
      <c r="Q1" s="103"/>
      <c r="R1" s="103"/>
      <c r="S1" s="103"/>
    </row>
    <row r="2" spans="2:19" ht="15" customHeight="1">
      <c r="B2" s="103"/>
      <c r="C2" s="103"/>
      <c r="D2" s="103"/>
      <c r="E2" s="103"/>
      <c r="F2" s="71"/>
      <c r="G2" s="71"/>
      <c r="H2" s="71"/>
      <c r="I2" s="139" t="s">
        <v>125</v>
      </c>
      <c r="J2" s="139"/>
      <c r="K2" s="139"/>
      <c r="L2" s="139"/>
      <c r="M2" s="71"/>
      <c r="N2" s="71"/>
      <c r="O2" s="103"/>
      <c r="P2" s="103"/>
      <c r="Q2" s="103"/>
      <c r="R2" s="103"/>
      <c r="S2" s="103"/>
    </row>
    <row r="3" spans="2:19" ht="15" customHeight="1">
      <c r="B3" s="103"/>
      <c r="C3" s="103"/>
      <c r="D3" s="103"/>
      <c r="E3" s="103"/>
      <c r="F3" s="71"/>
      <c r="G3" s="71"/>
      <c r="H3" s="71"/>
      <c r="I3" s="139" t="s">
        <v>126</v>
      </c>
      <c r="J3" s="139"/>
      <c r="K3" s="139"/>
      <c r="L3" s="139"/>
      <c r="M3" s="71"/>
      <c r="N3" s="71"/>
      <c r="O3" s="103"/>
      <c r="P3" s="103"/>
      <c r="Q3" s="103"/>
      <c r="R3" s="103"/>
      <c r="S3" s="103"/>
    </row>
    <row r="4" spans="2:19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2:19" ht="20.25">
      <c r="B5" s="103"/>
      <c r="C5" s="103"/>
      <c r="D5" s="103"/>
      <c r="E5" s="183" t="s">
        <v>56</v>
      </c>
      <c r="F5" s="184"/>
      <c r="G5" s="184"/>
      <c r="H5" s="184"/>
      <c r="I5" s="184"/>
      <c r="J5" s="184"/>
      <c r="K5" s="184"/>
      <c r="L5" s="184"/>
      <c r="M5" s="184"/>
      <c r="N5" s="184"/>
      <c r="O5" s="103"/>
      <c r="P5" s="103"/>
      <c r="Q5" s="103"/>
      <c r="R5" s="103"/>
      <c r="S5" s="103"/>
    </row>
    <row r="6" spans="2:19" ht="15.75" thickBot="1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2:19" ht="15.75" thickBot="1">
      <c r="B7" s="148" t="s">
        <v>57</v>
      </c>
      <c r="C7" s="149"/>
      <c r="D7" s="149"/>
      <c r="E7" s="149"/>
      <c r="F7" s="149"/>
      <c r="G7" s="149"/>
      <c r="H7" s="149"/>
      <c r="I7" s="149"/>
      <c r="J7" s="150"/>
      <c r="K7" s="151" t="s">
        <v>58</v>
      </c>
      <c r="L7" s="152"/>
      <c r="M7" s="152"/>
      <c r="N7" s="152"/>
      <c r="O7" s="152"/>
      <c r="P7" s="152"/>
      <c r="Q7" s="152"/>
      <c r="R7" s="152"/>
      <c r="S7" s="153"/>
    </row>
    <row r="8" spans="2:19" ht="26.25" thickBot="1">
      <c r="B8" s="20" t="s">
        <v>27</v>
      </c>
      <c r="C8" s="53" t="s">
        <v>113</v>
      </c>
      <c r="D8" s="53" t="s">
        <v>114</v>
      </c>
      <c r="E8" s="21" t="s">
        <v>28</v>
      </c>
      <c r="F8" s="53" t="s">
        <v>109</v>
      </c>
      <c r="G8" s="53" t="s">
        <v>110</v>
      </c>
      <c r="H8" s="53" t="s">
        <v>121</v>
      </c>
      <c r="I8" s="53" t="s">
        <v>112</v>
      </c>
      <c r="J8" s="54" t="s">
        <v>111</v>
      </c>
      <c r="K8" s="20" t="s">
        <v>27</v>
      </c>
      <c r="L8" s="53" t="s">
        <v>113</v>
      </c>
      <c r="M8" s="53" t="s">
        <v>115</v>
      </c>
      <c r="N8" s="21" t="s">
        <v>28</v>
      </c>
      <c r="O8" s="47" t="s">
        <v>109</v>
      </c>
      <c r="P8" s="47" t="s">
        <v>110</v>
      </c>
      <c r="Q8" s="47" t="s">
        <v>121</v>
      </c>
      <c r="R8" s="53" t="s">
        <v>112</v>
      </c>
      <c r="S8" s="54" t="s">
        <v>116</v>
      </c>
    </row>
    <row r="9" spans="2:19">
      <c r="B9" s="185" t="s">
        <v>0</v>
      </c>
      <c r="C9" s="187">
        <f>(I9*3+I10*3+I11*2)/8</f>
        <v>8.1968750000000004</v>
      </c>
      <c r="D9" s="187">
        <f>IF(C9&gt;=10,16,SUM(J9:J11))</f>
        <v>0</v>
      </c>
      <c r="E9" s="76" t="s">
        <v>59</v>
      </c>
      <c r="F9" s="111">
        <v>9</v>
      </c>
      <c r="G9" s="111">
        <v>11</v>
      </c>
      <c r="H9" s="111"/>
      <c r="I9" s="25">
        <f>IF(F9&gt;=H9,((F9*0.67)+(G9*0.33)),((H9*0.67)+(G9*0.33)))</f>
        <v>9.66</v>
      </c>
      <c r="J9" s="78">
        <f>IF(I9&gt;=10,6,0)</f>
        <v>0</v>
      </c>
      <c r="K9" s="154" t="s">
        <v>0</v>
      </c>
      <c r="L9" s="133">
        <f>(R9*3+R10*3+R11*2+R12*2)/10</f>
        <v>8.9675000000000011</v>
      </c>
      <c r="M9" s="133">
        <f>IF(L9&gt;=10,20,SUM(S9:S12))</f>
        <v>8</v>
      </c>
      <c r="N9" s="2" t="s">
        <v>68</v>
      </c>
      <c r="O9" s="24">
        <v>7</v>
      </c>
      <c r="P9" s="24">
        <v>12</v>
      </c>
      <c r="Q9" s="24"/>
      <c r="R9" s="66">
        <f>IF(O9&gt;=Q9,((O9*0.67)+(P9*0.33)),((Q9*0.67)+(P9*0.33)))</f>
        <v>8.65</v>
      </c>
      <c r="S9" s="26">
        <f>IF(R9&gt;=10,6,0)</f>
        <v>0</v>
      </c>
    </row>
    <row r="10" spans="2:19">
      <c r="B10" s="186"/>
      <c r="C10" s="188"/>
      <c r="D10" s="188"/>
      <c r="E10" s="3" t="s">
        <v>60</v>
      </c>
      <c r="F10" s="27">
        <v>6.5</v>
      </c>
      <c r="G10" s="27">
        <v>9.5</v>
      </c>
      <c r="H10" s="27"/>
      <c r="I10" s="87">
        <f t="shared" ref="I10:I11" si="0">IF(F10&gt;=H10,((F10*0.67)+(G10*0.33)),((H10*0.67)+(G10*0.33)))</f>
        <v>7.49</v>
      </c>
      <c r="J10" s="79">
        <f>IF(I10&gt;=10,6,0)</f>
        <v>0</v>
      </c>
      <c r="K10" s="155"/>
      <c r="L10" s="134"/>
      <c r="M10" s="134"/>
      <c r="N10" s="3" t="s">
        <v>69</v>
      </c>
      <c r="O10" s="27">
        <v>5</v>
      </c>
      <c r="P10" s="27">
        <v>11.5</v>
      </c>
      <c r="Q10" s="27"/>
      <c r="R10" s="65">
        <f t="shared" ref="R10:R12" si="1">IF(O10&gt;=Q10,((O10*0.67)+(P10*0.33)),((Q10*0.67)+(P10*0.33)))</f>
        <v>7.1450000000000005</v>
      </c>
      <c r="S10" s="29">
        <f>IF(R10&gt;=10,6,0)</f>
        <v>0</v>
      </c>
    </row>
    <row r="11" spans="2:19" ht="15.75" thickBot="1">
      <c r="B11" s="186"/>
      <c r="C11" s="188"/>
      <c r="D11" s="188"/>
      <c r="E11" s="105" t="s">
        <v>61</v>
      </c>
      <c r="F11" s="37">
        <v>5</v>
      </c>
      <c r="G11" s="37">
        <v>11.25</v>
      </c>
      <c r="H11" s="37"/>
      <c r="I11" s="86">
        <f t="shared" si="0"/>
        <v>7.0625</v>
      </c>
      <c r="J11" s="107">
        <f>IF(I11&gt;=10,4,0)</f>
        <v>0</v>
      </c>
      <c r="K11" s="155"/>
      <c r="L11" s="134"/>
      <c r="M11" s="134"/>
      <c r="N11" s="3" t="s">
        <v>80</v>
      </c>
      <c r="O11" s="27">
        <v>9</v>
      </c>
      <c r="P11" s="27">
        <v>12.5</v>
      </c>
      <c r="Q11" s="27"/>
      <c r="R11" s="87">
        <f t="shared" si="1"/>
        <v>10.155000000000001</v>
      </c>
      <c r="S11" s="29">
        <f>IF(R11&gt;=10,4,0)</f>
        <v>4</v>
      </c>
    </row>
    <row r="12" spans="2:19" ht="15.75" thickBot="1">
      <c r="B12" s="144" t="s">
        <v>1</v>
      </c>
      <c r="C12" s="146">
        <f>(I12*2+I13+I14+I15)/5</f>
        <v>11.8</v>
      </c>
      <c r="D12" s="146">
        <f>IF(C12&gt;=10,10,SUM(J12:J15))</f>
        <v>10</v>
      </c>
      <c r="E12" s="5" t="s">
        <v>63</v>
      </c>
      <c r="F12" s="24">
        <v>12</v>
      </c>
      <c r="G12" s="24">
        <v>13</v>
      </c>
      <c r="H12" s="24"/>
      <c r="I12" s="33">
        <f>IF(F12&gt;=H12,((F12*0.5)+(G12*0.5)),((H12*0.5)+(G12*0.5)))</f>
        <v>12.5</v>
      </c>
      <c r="J12" s="34">
        <f>IF(I12&gt;=10,4,0)</f>
        <v>4</v>
      </c>
      <c r="K12" s="138"/>
      <c r="L12" s="135"/>
      <c r="M12" s="135"/>
      <c r="N12" s="4" t="s">
        <v>70</v>
      </c>
      <c r="O12" s="30">
        <v>10</v>
      </c>
      <c r="P12" s="30">
        <v>13</v>
      </c>
      <c r="Q12" s="30"/>
      <c r="R12" s="65">
        <f t="shared" si="1"/>
        <v>10.99</v>
      </c>
      <c r="S12" s="32">
        <f>IF(R12&gt;=10,4,0)</f>
        <v>4</v>
      </c>
    </row>
    <row r="13" spans="2:19">
      <c r="B13" s="145"/>
      <c r="C13" s="147"/>
      <c r="D13" s="147"/>
      <c r="E13" s="6" t="s">
        <v>64</v>
      </c>
      <c r="F13" s="27">
        <v>10</v>
      </c>
      <c r="G13" s="27">
        <v>10.75</v>
      </c>
      <c r="H13" s="27"/>
      <c r="I13" s="35">
        <f t="shared" ref="I13:I15" si="2">IF(F13&gt;=H13,((F13*0.5)+(G13*0.5)),((H13*0.5)+(G13*0.5)))</f>
        <v>10.375</v>
      </c>
      <c r="J13" s="36">
        <f>IF(I13&gt;=10,2,0)</f>
        <v>2</v>
      </c>
      <c r="K13" s="180" t="s">
        <v>1</v>
      </c>
      <c r="L13" s="169">
        <f>(R13+R14+R15)/3</f>
        <v>12.208333333333334</v>
      </c>
      <c r="M13" s="169">
        <f>IF(L13&gt;=10,6,SUM(S13:S15))</f>
        <v>6</v>
      </c>
      <c r="N13" s="5" t="s">
        <v>73</v>
      </c>
      <c r="O13" s="24">
        <v>12</v>
      </c>
      <c r="P13" s="24">
        <v>13</v>
      </c>
      <c r="Q13" s="24"/>
      <c r="R13" s="33">
        <f>IF(O13&gt;=Q13,((O13*0.5)+(P13*0.5)),((Q13*0.5)+(P13*0.5)))</f>
        <v>12.5</v>
      </c>
      <c r="S13" s="34">
        <f>IF(R13&gt;=10,2,0)</f>
        <v>2</v>
      </c>
    </row>
    <row r="14" spans="2:19">
      <c r="B14" s="145"/>
      <c r="C14" s="147"/>
      <c r="D14" s="147"/>
      <c r="E14" s="6" t="s">
        <v>136</v>
      </c>
      <c r="F14" s="27">
        <v>11</v>
      </c>
      <c r="G14" s="27">
        <v>12</v>
      </c>
      <c r="H14" s="27"/>
      <c r="I14" s="35">
        <f t="shared" si="2"/>
        <v>11.5</v>
      </c>
      <c r="J14" s="36">
        <f>IF(I14&gt;=10,2,0)</f>
        <v>2</v>
      </c>
      <c r="K14" s="181"/>
      <c r="L14" s="170"/>
      <c r="M14" s="170"/>
      <c r="N14" s="6" t="s">
        <v>72</v>
      </c>
      <c r="O14" s="27">
        <v>11.25</v>
      </c>
      <c r="P14" s="27">
        <v>12.5</v>
      </c>
      <c r="Q14" s="27"/>
      <c r="R14" s="35">
        <f t="shared" ref="R14:R15" si="3">IF(O14&gt;=Q14,((O14*0.5)+(P14*0.5)),((Q14*0.5)+(P14*0.5)))</f>
        <v>11.875</v>
      </c>
      <c r="S14" s="36">
        <f>IF(R14&gt;=10,2,0)</f>
        <v>2</v>
      </c>
    </row>
    <row r="15" spans="2:19" ht="15.75" thickBot="1">
      <c r="B15" s="189"/>
      <c r="C15" s="190"/>
      <c r="D15" s="190"/>
      <c r="E15" s="77" t="s">
        <v>65</v>
      </c>
      <c r="F15" s="30">
        <v>12.25</v>
      </c>
      <c r="G15" s="30">
        <v>12</v>
      </c>
      <c r="H15" s="30"/>
      <c r="I15" s="38">
        <f t="shared" si="2"/>
        <v>12.125</v>
      </c>
      <c r="J15" s="99">
        <f t="shared" ref="J15" si="4">IF(I15&gt;=10,2,0)</f>
        <v>2</v>
      </c>
      <c r="K15" s="182"/>
      <c r="L15" s="171"/>
      <c r="M15" s="171"/>
      <c r="N15" s="77" t="s">
        <v>71</v>
      </c>
      <c r="O15" s="30">
        <v>13</v>
      </c>
      <c r="P15" s="30">
        <v>11.5</v>
      </c>
      <c r="Q15" s="30"/>
      <c r="R15" s="38">
        <f t="shared" si="3"/>
        <v>12.25</v>
      </c>
      <c r="S15" s="99">
        <f t="shared" ref="S15" si="5">IF(R15&gt;=10,2,0)</f>
        <v>2</v>
      </c>
    </row>
    <row r="16" spans="2:19" ht="15.75" thickBot="1">
      <c r="B16" s="102" t="s">
        <v>3</v>
      </c>
      <c r="C16" s="104">
        <f>I16</f>
        <v>8</v>
      </c>
      <c r="D16" s="104">
        <f>J16</f>
        <v>0</v>
      </c>
      <c r="E16" s="106" t="s">
        <v>66</v>
      </c>
      <c r="F16" s="112">
        <v>8</v>
      </c>
      <c r="G16" s="108"/>
      <c r="H16" s="112"/>
      <c r="I16" s="46">
        <f>IF(F16&gt;=H16,F16,H16)</f>
        <v>8</v>
      </c>
      <c r="J16" s="109">
        <f>IF(I16&gt;=10,3,0)</f>
        <v>0</v>
      </c>
      <c r="K16" s="11" t="s">
        <v>3</v>
      </c>
      <c r="L16" s="23">
        <f>R16</f>
        <v>15</v>
      </c>
      <c r="M16" s="23">
        <f>S16</f>
        <v>3</v>
      </c>
      <c r="N16" s="12" t="s">
        <v>74</v>
      </c>
      <c r="O16" s="40">
        <v>15</v>
      </c>
      <c r="P16" s="93"/>
      <c r="Q16" s="40"/>
      <c r="R16" s="46">
        <f>IF(O16&gt;=Q16,O16,Q16)</f>
        <v>15</v>
      </c>
      <c r="S16" s="43">
        <f>IF(R16&gt;=10,3,0)</f>
        <v>3</v>
      </c>
    </row>
    <row r="17" spans="2:19" ht="15.75" thickBot="1">
      <c r="B17" s="8" t="s">
        <v>4</v>
      </c>
      <c r="C17" s="22">
        <f>I17</f>
        <v>10</v>
      </c>
      <c r="D17" s="22">
        <f>J17</f>
        <v>1</v>
      </c>
      <c r="E17" s="9" t="s">
        <v>67</v>
      </c>
      <c r="F17" s="40">
        <v>10</v>
      </c>
      <c r="G17" s="95"/>
      <c r="H17" s="40"/>
      <c r="I17" s="41">
        <f>IF(F17&gt;=H17,F17,H17)</f>
        <v>10</v>
      </c>
      <c r="J17" s="42">
        <f>IF(I17&gt;=10,1,0)</f>
        <v>1</v>
      </c>
      <c r="K17" s="8" t="s">
        <v>4</v>
      </c>
      <c r="L17" s="22">
        <f>R17</f>
        <v>12</v>
      </c>
      <c r="M17" s="22">
        <f>S17</f>
        <v>1</v>
      </c>
      <c r="N17" s="9" t="s">
        <v>75</v>
      </c>
      <c r="O17" s="40">
        <v>12</v>
      </c>
      <c r="P17" s="95"/>
      <c r="Q17" s="40"/>
      <c r="R17" s="41">
        <f>IF(O17&gt;=Q17,O17,Q17)</f>
        <v>12</v>
      </c>
      <c r="S17" s="42">
        <f>IF(R17&gt;=10,1,0)</f>
        <v>1</v>
      </c>
    </row>
    <row r="18" spans="2:19" ht="15.75" thickBot="1">
      <c r="B18" s="14"/>
      <c r="C18" s="15" t="s">
        <v>130</v>
      </c>
      <c r="D18" s="45">
        <f>IF(K20&gt;=10,30,(IF(I18&gt;=10,30,SUM(D9:D17))))</f>
        <v>30</v>
      </c>
      <c r="F18" s="90"/>
      <c r="G18" s="167" t="s">
        <v>131</v>
      </c>
      <c r="H18" s="168"/>
      <c r="I18" s="91">
        <f>(C9*8+C12*6+C16+C17)/16</f>
        <v>9.6484375</v>
      </c>
      <c r="J18" s="16"/>
      <c r="K18" s="14"/>
      <c r="L18" s="15" t="s">
        <v>132</v>
      </c>
      <c r="M18" s="45">
        <f>IF(K20&gt;=10,30,(IF(R18&gt;=10,30,SUM(M9:M17))))</f>
        <v>30</v>
      </c>
      <c r="O18" s="90"/>
      <c r="P18" s="167" t="s">
        <v>133</v>
      </c>
      <c r="Q18" s="168"/>
      <c r="R18" s="91">
        <f>(L9*10+L13*3+L16*2+L17)/16</f>
        <v>10.518750000000001</v>
      </c>
      <c r="S18" s="14"/>
    </row>
    <row r="19" spans="2:19" ht="15.75" thickBot="1">
      <c r="B19" s="14"/>
      <c r="C19" s="50"/>
      <c r="D19" s="51"/>
      <c r="F19" s="90"/>
      <c r="G19" s="159" t="s">
        <v>134</v>
      </c>
      <c r="H19" s="160"/>
      <c r="I19" s="67" t="str">
        <f>IF(AND(F9="",F10="",F11="",F12="",F13="",F14="",F15="",F16="",F17="",H9="",H10="",H11="",H12="",H13="",H14="",H15="",H16="",H17=""),"",IF(OR(H9&gt;F9,H10&gt;F10,H11&gt;F11,H12&gt;F12,H13&gt;F13,H14&gt;F14,H15&gt;F15,H16&gt;F16,H17&gt;F17),"Rattrapage","Normale"))</f>
        <v>Normale</v>
      </c>
      <c r="J19" s="16"/>
      <c r="K19" s="14"/>
      <c r="L19" s="50"/>
      <c r="M19" s="51"/>
      <c r="O19" s="90"/>
      <c r="P19" s="159" t="s">
        <v>135</v>
      </c>
      <c r="Q19" s="160"/>
      <c r="R19" s="67" t="str">
        <f>IF(AND(O9="",O10="",O11="",O12="",O13="",O14="",O15="",O16="",O17="",Q9="",Q10="",Q11="",Q12="",Q13="",Q14="",Q15="",Q16="",Q17=""),"",IF(OR(Q9&gt;O9,Q10&gt;O10,Q11&gt;O11,Q12&gt;O12,Q13&gt;O13,Q14&gt;O14,Q15&gt;O15,Q16&gt;O16,Q17&gt;O17),"Rattrapage","Normale"))</f>
        <v>Normale</v>
      </c>
      <c r="S19" s="14"/>
    </row>
    <row r="20" spans="2:19" ht="15.75" thickBot="1">
      <c r="B20" s="14"/>
      <c r="C20" s="14"/>
      <c r="D20" s="14"/>
      <c r="E20" s="14"/>
      <c r="F20" s="89"/>
      <c r="G20" s="14"/>
      <c r="H20" s="14"/>
      <c r="I20" s="14"/>
      <c r="J20" s="96" t="s">
        <v>78</v>
      </c>
      <c r="K20" s="55">
        <f>(I18+R18)/2</f>
        <v>10.08359375</v>
      </c>
      <c r="L20" s="14"/>
      <c r="M20" s="14"/>
      <c r="N20" s="14"/>
      <c r="O20" s="89"/>
      <c r="P20" s="14"/>
      <c r="Q20" s="14"/>
      <c r="R20" s="14"/>
      <c r="S20" s="14"/>
    </row>
    <row r="21" spans="2:19" ht="15.75" thickBot="1">
      <c r="B21" s="14"/>
      <c r="C21" s="14"/>
      <c r="D21" s="14"/>
      <c r="E21" s="14"/>
      <c r="F21" s="14"/>
      <c r="G21" s="14"/>
      <c r="H21" s="14"/>
      <c r="I21" s="14"/>
      <c r="J21" s="97" t="s">
        <v>77</v>
      </c>
      <c r="K21" s="56">
        <f>D18+M18</f>
        <v>60</v>
      </c>
      <c r="L21" s="14"/>
      <c r="M21" s="17" t="s">
        <v>29</v>
      </c>
      <c r="N21" s="85" t="str">
        <f>IF(K22=180,IF(OR(I19="Rattrapage",R19="Rattrapage",'Relevé 2ème année Physique'!N21="Admis/ S2",'Relevé 1ère année SM'!N21="Admis/ S2"),"Admis/ S2","Admis/ S1"),"Ajourné")</f>
        <v>Admis/ S1</v>
      </c>
      <c r="O21" s="49"/>
      <c r="P21" s="49"/>
      <c r="Q21" s="49"/>
      <c r="R21" s="14"/>
      <c r="S21" s="14"/>
    </row>
    <row r="22" spans="2:19" ht="15.75" thickBot="1">
      <c r="B22" s="143" t="s">
        <v>127</v>
      </c>
      <c r="C22" s="143"/>
      <c r="D22" s="143"/>
      <c r="E22" s="14"/>
      <c r="F22" s="14"/>
      <c r="G22" s="14"/>
      <c r="H22" s="14"/>
      <c r="I22" s="14"/>
      <c r="J22" s="97" t="s">
        <v>76</v>
      </c>
      <c r="K22" s="56">
        <f>K21+'Relevé 2ème année Physique'!K22</f>
        <v>180</v>
      </c>
      <c r="L22" s="14"/>
      <c r="M22" s="165" t="s">
        <v>137</v>
      </c>
      <c r="N22" s="166"/>
      <c r="O22" s="110">
        <f>(K20+'Relevé 2ème année Physique'!K20+'Relevé 1ère année SM'!K20)/3</f>
        <v>10.047513276143791</v>
      </c>
      <c r="P22" s="89"/>
      <c r="Q22" s="89"/>
      <c r="S22" s="14"/>
    </row>
    <row r="23" spans="2:19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</row>
    <row r="24" spans="2:19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2:19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</row>
    <row r="26" spans="2:19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</row>
    <row r="27" spans="2:19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</row>
    <row r="28" spans="2:19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</row>
    <row r="29" spans="2:19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</row>
    <row r="30" spans="2:19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</row>
    <row r="31" spans="2:19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</row>
    <row r="32" spans="2:19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</row>
    <row r="33" spans="2:19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</row>
  </sheetData>
  <sheetProtection password="CEE9" sheet="1" objects="1" scenarios="1" selectLockedCells="1"/>
  <mergeCells count="24">
    <mergeCell ref="E5:N5"/>
    <mergeCell ref="M9:M12"/>
    <mergeCell ref="B9:B11"/>
    <mergeCell ref="C9:C11"/>
    <mergeCell ref="D9:D11"/>
    <mergeCell ref="B12:B15"/>
    <mergeCell ref="C12:C15"/>
    <mergeCell ref="D12:D15"/>
    <mergeCell ref="G19:H19"/>
    <mergeCell ref="P19:Q19"/>
    <mergeCell ref="B22:D22"/>
    <mergeCell ref="M22:N22"/>
    <mergeCell ref="I1:L1"/>
    <mergeCell ref="I2:L2"/>
    <mergeCell ref="I3:L3"/>
    <mergeCell ref="G18:H18"/>
    <mergeCell ref="P18:Q18"/>
    <mergeCell ref="K13:K15"/>
    <mergeCell ref="L13:L15"/>
    <mergeCell ref="M13:M15"/>
    <mergeCell ref="B7:J7"/>
    <mergeCell ref="K7:S7"/>
    <mergeCell ref="K9:K12"/>
    <mergeCell ref="L9:L12"/>
  </mergeCells>
  <conditionalFormatting sqref="I19">
    <cfRule type="cellIs" dxfId="84" priority="35" operator="lessThan">
      <formula>10</formula>
    </cfRule>
  </conditionalFormatting>
  <conditionalFormatting sqref="I19">
    <cfRule type="containsText" dxfId="83" priority="34" operator="containsText" text="Rattrapage">
      <formula>NOT(ISERROR(SEARCH("Rattrapage",I19)))</formula>
    </cfRule>
  </conditionalFormatting>
  <conditionalFormatting sqref="C9:C17">
    <cfRule type="cellIs" dxfId="82" priority="26" operator="lessThan">
      <formula>10</formula>
    </cfRule>
  </conditionalFormatting>
  <conditionalFormatting sqref="F9:H15">
    <cfRule type="cellIs" dxfId="81" priority="25" operator="lessThan">
      <formula>10</formula>
    </cfRule>
  </conditionalFormatting>
  <conditionalFormatting sqref="F16:F17">
    <cfRule type="cellIs" dxfId="80" priority="24" operator="lessThan">
      <formula>10</formula>
    </cfRule>
  </conditionalFormatting>
  <conditionalFormatting sqref="H16:H17">
    <cfRule type="cellIs" dxfId="79" priority="23" operator="lessThan">
      <formula>10</formula>
    </cfRule>
  </conditionalFormatting>
  <conditionalFormatting sqref="I18">
    <cfRule type="cellIs" dxfId="78" priority="22" operator="lessThan">
      <formula>10</formula>
    </cfRule>
  </conditionalFormatting>
  <conditionalFormatting sqref="K20">
    <cfRule type="cellIs" dxfId="77" priority="21" operator="lessThan">
      <formula>10</formula>
    </cfRule>
  </conditionalFormatting>
  <conditionalFormatting sqref="R9:R12">
    <cfRule type="cellIs" dxfId="76" priority="20" operator="lessThan">
      <formula>10</formula>
    </cfRule>
  </conditionalFormatting>
  <conditionalFormatting sqref="R9:R12">
    <cfRule type="cellIs" dxfId="75" priority="19" operator="lessThan">
      <formula>10</formula>
    </cfRule>
  </conditionalFormatting>
  <conditionalFormatting sqref="L9:L17">
    <cfRule type="cellIs" dxfId="74" priority="18" operator="lessThan">
      <formula>10</formula>
    </cfRule>
  </conditionalFormatting>
  <conditionalFormatting sqref="O9:Q15">
    <cfRule type="cellIs" dxfId="73" priority="17" operator="lessThan">
      <formula>10</formula>
    </cfRule>
  </conditionalFormatting>
  <conditionalFormatting sqref="O16:O17">
    <cfRule type="cellIs" dxfId="72" priority="16" operator="lessThan">
      <formula>10</formula>
    </cfRule>
  </conditionalFormatting>
  <conditionalFormatting sqref="Q16:Q17">
    <cfRule type="cellIs" dxfId="71" priority="15" operator="lessThan">
      <formula>10</formula>
    </cfRule>
  </conditionalFormatting>
  <conditionalFormatting sqref="R18">
    <cfRule type="cellIs" dxfId="70" priority="14" operator="lessThan">
      <formula>10</formula>
    </cfRule>
  </conditionalFormatting>
  <conditionalFormatting sqref="O22">
    <cfRule type="cellIs" dxfId="69" priority="13" operator="lessThan">
      <formula>10</formula>
    </cfRule>
  </conditionalFormatting>
  <conditionalFormatting sqref="R9:R12">
    <cfRule type="cellIs" dxfId="68" priority="12" operator="lessThan">
      <formula>10</formula>
    </cfRule>
  </conditionalFormatting>
  <conditionalFormatting sqref="R13:R15">
    <cfRule type="cellIs" dxfId="67" priority="11" operator="lessThan">
      <formula>10</formula>
    </cfRule>
  </conditionalFormatting>
  <conditionalFormatting sqref="R16">
    <cfRule type="cellIs" dxfId="66" priority="10" operator="lessThan">
      <formula>10</formula>
    </cfRule>
  </conditionalFormatting>
  <conditionalFormatting sqref="R17">
    <cfRule type="cellIs" dxfId="65" priority="9" operator="lessThan">
      <formula>10</formula>
    </cfRule>
  </conditionalFormatting>
  <conditionalFormatting sqref="N21">
    <cfRule type="containsText" dxfId="64" priority="7" operator="containsText" text="Ajourné">
      <formula>NOT(ISERROR(SEARCH("Ajourné",N21)))</formula>
    </cfRule>
    <cfRule type="containsText" dxfId="63" priority="8" operator="containsText" text="Ajouré">
      <formula>NOT(ISERROR(SEARCH("Ajouré",N21)))</formula>
    </cfRule>
  </conditionalFormatting>
  <conditionalFormatting sqref="R19">
    <cfRule type="cellIs" dxfId="62" priority="6" operator="lessThan">
      <formula>10</formula>
    </cfRule>
  </conditionalFormatting>
  <conditionalFormatting sqref="R19">
    <cfRule type="containsText" dxfId="61" priority="5" operator="containsText" text="Rattrapage">
      <formula>NOT(ISERROR(SEARCH("Rattrapage",R19)))</formula>
    </cfRule>
  </conditionalFormatting>
  <conditionalFormatting sqref="I9:I17">
    <cfRule type="cellIs" dxfId="60" priority="1" operator="lessThan">
      <formula>10</formula>
    </cfRule>
    <cfRule type="cellIs" dxfId="59" priority="3" operator="lessThan">
      <formula>10</formula>
    </cfRule>
    <cfRule type="cellIs" dxfId="58" priority="4" operator="lessThan">
      <formula>10</formula>
    </cfRule>
  </conditionalFormatting>
  <conditionalFormatting sqref="I9:I11">
    <cfRule type="cellIs" dxfId="57" priority="2" operator="lessThan">
      <formula>10</formula>
    </cfRule>
  </conditionalFormatting>
  <dataValidations count="1">
    <dataValidation type="decimal" allowBlank="1" showInputMessage="1" showErrorMessage="1" errorTitle="Note non valide" error="La note doit être comprise entre 0 et 20" sqref="F9:H15 F16:F17 H16:H17 O9:Q15 O16:O17 Q16:Q17">
      <formula1>0</formula1>
      <formula2>20</formula2>
    </dataValidation>
  </dataValidation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S33"/>
  <sheetViews>
    <sheetView workbookViewId="0">
      <selection activeCell="F9" sqref="F9"/>
    </sheetView>
  </sheetViews>
  <sheetFormatPr baseColWidth="10" defaultRowHeight="15"/>
  <cols>
    <col min="1" max="1" width="3.28515625" style="1" customWidth="1"/>
    <col min="2" max="2" width="11.5703125" style="1" bestFit="1" customWidth="1"/>
    <col min="3" max="3" width="10.5703125" style="1" bestFit="1" customWidth="1"/>
    <col min="4" max="4" width="6.140625" style="1" bestFit="1" customWidth="1"/>
    <col min="5" max="5" width="37" style="1" bestFit="1" customWidth="1"/>
    <col min="6" max="6" width="7" style="1" bestFit="1" customWidth="1"/>
    <col min="7" max="7" width="6.140625" style="1" bestFit="1" customWidth="1"/>
    <col min="8" max="8" width="9.5703125" style="1" bestFit="1" customWidth="1"/>
    <col min="9" max="9" width="11.85546875" style="1" bestFit="1" customWidth="1"/>
    <col min="10" max="10" width="18.7109375" style="1" bestFit="1" customWidth="1"/>
    <col min="11" max="11" width="11.5703125" style="1" bestFit="1" customWidth="1"/>
    <col min="12" max="12" width="10.5703125" style="1" bestFit="1" customWidth="1"/>
    <col min="13" max="13" width="9.85546875" style="1" bestFit="1" customWidth="1"/>
    <col min="14" max="14" width="23.42578125" style="1" customWidth="1"/>
    <col min="15" max="15" width="7" style="1" bestFit="1" customWidth="1"/>
    <col min="16" max="16" width="6.140625" style="1" bestFit="1" customWidth="1"/>
    <col min="17" max="17" width="9.5703125" style="1" bestFit="1" customWidth="1"/>
    <col min="18" max="18" width="11.28515625" style="1" bestFit="1" customWidth="1"/>
    <col min="19" max="19" width="7.5703125" style="1" bestFit="1" customWidth="1"/>
    <col min="20" max="16384" width="11.42578125" style="1"/>
  </cols>
  <sheetData>
    <row r="1" spans="2:19" ht="15" customHeight="1">
      <c r="B1" s="103"/>
      <c r="C1" s="103"/>
      <c r="D1" s="103"/>
      <c r="E1" s="103"/>
      <c r="F1" s="71"/>
      <c r="G1" s="71"/>
      <c r="H1" s="103"/>
      <c r="I1" s="139" t="s">
        <v>124</v>
      </c>
      <c r="J1" s="139"/>
      <c r="K1" s="139"/>
      <c r="L1" s="139"/>
      <c r="M1" s="71"/>
      <c r="N1" s="71"/>
      <c r="O1" s="103"/>
      <c r="P1" s="103"/>
      <c r="Q1" s="103"/>
      <c r="R1" s="103"/>
      <c r="S1" s="103"/>
    </row>
    <row r="2" spans="2:19" ht="15" customHeight="1">
      <c r="B2" s="103"/>
      <c r="C2" s="103"/>
      <c r="D2" s="103"/>
      <c r="E2" s="103"/>
      <c r="F2" s="71"/>
      <c r="G2" s="71"/>
      <c r="H2" s="71"/>
      <c r="I2" s="139" t="s">
        <v>125</v>
      </c>
      <c r="J2" s="139"/>
      <c r="K2" s="139"/>
      <c r="L2" s="139"/>
      <c r="M2" s="71"/>
      <c r="N2" s="71"/>
      <c r="O2" s="103"/>
      <c r="P2" s="103"/>
      <c r="Q2" s="103"/>
      <c r="R2" s="103"/>
      <c r="S2" s="103"/>
    </row>
    <row r="3" spans="2:19" ht="15" customHeight="1">
      <c r="B3" s="103"/>
      <c r="C3" s="103"/>
      <c r="D3" s="103"/>
      <c r="E3" s="103"/>
      <c r="F3" s="71"/>
      <c r="G3" s="71"/>
      <c r="H3" s="71"/>
      <c r="I3" s="139" t="s">
        <v>126</v>
      </c>
      <c r="J3" s="139"/>
      <c r="K3" s="139"/>
      <c r="L3" s="139"/>
      <c r="M3" s="71"/>
      <c r="N3" s="71"/>
      <c r="O3" s="103"/>
      <c r="P3" s="103"/>
      <c r="Q3" s="103"/>
      <c r="R3" s="103"/>
      <c r="S3" s="103"/>
    </row>
    <row r="4" spans="2:19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2:19" ht="20.25">
      <c r="B5" s="103"/>
      <c r="C5" s="103"/>
      <c r="D5" s="103"/>
      <c r="E5" s="183" t="s">
        <v>79</v>
      </c>
      <c r="F5" s="184"/>
      <c r="G5" s="184"/>
      <c r="H5" s="184"/>
      <c r="I5" s="184"/>
      <c r="J5" s="184"/>
      <c r="K5" s="184"/>
      <c r="L5" s="184"/>
      <c r="M5" s="184"/>
      <c r="N5" s="184"/>
      <c r="O5" s="103"/>
      <c r="P5" s="103"/>
      <c r="Q5" s="103"/>
      <c r="R5" s="103"/>
      <c r="S5" s="103"/>
    </row>
    <row r="6" spans="2:19" ht="15.75" thickBot="1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2:19" ht="15.75" thickBot="1">
      <c r="B7" s="148" t="s">
        <v>57</v>
      </c>
      <c r="C7" s="149"/>
      <c r="D7" s="149"/>
      <c r="E7" s="149"/>
      <c r="F7" s="149"/>
      <c r="G7" s="149"/>
      <c r="H7" s="149"/>
      <c r="I7" s="149"/>
      <c r="J7" s="150"/>
      <c r="K7" s="151" t="s">
        <v>58</v>
      </c>
      <c r="L7" s="152"/>
      <c r="M7" s="152"/>
      <c r="N7" s="152"/>
      <c r="O7" s="152"/>
      <c r="P7" s="152"/>
      <c r="Q7" s="152"/>
      <c r="R7" s="152"/>
      <c r="S7" s="153"/>
    </row>
    <row r="8" spans="2:19" ht="26.25" thickBot="1">
      <c r="B8" s="20" t="s">
        <v>27</v>
      </c>
      <c r="C8" s="53" t="s">
        <v>113</v>
      </c>
      <c r="D8" s="53" t="s">
        <v>114</v>
      </c>
      <c r="E8" s="21" t="s">
        <v>28</v>
      </c>
      <c r="F8" s="53" t="s">
        <v>109</v>
      </c>
      <c r="G8" s="53" t="s">
        <v>110</v>
      </c>
      <c r="H8" s="53" t="s">
        <v>121</v>
      </c>
      <c r="I8" s="53" t="s">
        <v>112</v>
      </c>
      <c r="J8" s="54" t="s">
        <v>111</v>
      </c>
      <c r="K8" s="20" t="s">
        <v>27</v>
      </c>
      <c r="L8" s="53" t="s">
        <v>113</v>
      </c>
      <c r="M8" s="53" t="s">
        <v>115</v>
      </c>
      <c r="N8" s="21" t="s">
        <v>28</v>
      </c>
      <c r="O8" s="47" t="s">
        <v>109</v>
      </c>
      <c r="P8" s="47" t="s">
        <v>110</v>
      </c>
      <c r="Q8" s="47" t="s">
        <v>121</v>
      </c>
      <c r="R8" s="53" t="s">
        <v>112</v>
      </c>
      <c r="S8" s="54" t="s">
        <v>116</v>
      </c>
    </row>
    <row r="9" spans="2:19">
      <c r="B9" s="192" t="s">
        <v>0</v>
      </c>
      <c r="C9" s="187">
        <f>(I9*3+I10*3+I11*2+I12*2)/10</f>
        <v>12.324249999999999</v>
      </c>
      <c r="D9" s="187">
        <f>IF(C9&gt;=10,20,SUM(J9:J12))</f>
        <v>20</v>
      </c>
      <c r="E9" s="2" t="s">
        <v>59</v>
      </c>
      <c r="F9" s="24">
        <v>13.25</v>
      </c>
      <c r="G9" s="24">
        <v>13</v>
      </c>
      <c r="H9" s="24"/>
      <c r="I9" s="25">
        <f>IF(F9&gt;=H9,((F9*0.67)+(G9*0.33)),((H9*0.67)+(G9*0.33)))</f>
        <v>13.1675</v>
      </c>
      <c r="J9" s="26">
        <f>IF(I9&gt;=10,6,0)</f>
        <v>6</v>
      </c>
      <c r="K9" s="136" t="s">
        <v>0</v>
      </c>
      <c r="L9" s="133">
        <f>(R9*3+R10*2+R11*2+R12*2)/9</f>
        <v>11.085555555555556</v>
      </c>
      <c r="M9" s="133">
        <f>IF(L9&gt;=10,18,SUM(S9:S12))</f>
        <v>18</v>
      </c>
      <c r="N9" s="2" t="s">
        <v>84</v>
      </c>
      <c r="O9" s="24">
        <v>10</v>
      </c>
      <c r="P9" s="24">
        <v>11</v>
      </c>
      <c r="Q9" s="24"/>
      <c r="R9" s="66">
        <f>IF(O9&gt;=Q9,((O9*0.67)+(P9*0.33)),((Q9*0.67)+(P9*0.33)))</f>
        <v>10.33</v>
      </c>
      <c r="S9" s="26">
        <f>IF(R9&gt;=10,6,0)</f>
        <v>6</v>
      </c>
    </row>
    <row r="10" spans="2:19">
      <c r="B10" s="193"/>
      <c r="C10" s="188"/>
      <c r="D10" s="188"/>
      <c r="E10" s="3" t="s">
        <v>61</v>
      </c>
      <c r="F10" s="27">
        <v>10.5</v>
      </c>
      <c r="G10" s="27">
        <v>15.5</v>
      </c>
      <c r="H10" s="27"/>
      <c r="I10" s="87">
        <f t="shared" ref="I10:I12" si="0">IF(F10&gt;=H10,((F10*0.67)+(G10*0.33)),((H10*0.67)+(G10*0.33)))</f>
        <v>12.15</v>
      </c>
      <c r="J10" s="29">
        <f>IF(I10&gt;=10,6,0)</f>
        <v>6</v>
      </c>
      <c r="K10" s="137"/>
      <c r="L10" s="134"/>
      <c r="M10" s="134"/>
      <c r="N10" s="3" t="s">
        <v>80</v>
      </c>
      <c r="O10" s="27">
        <v>9</v>
      </c>
      <c r="P10" s="27">
        <v>14.5</v>
      </c>
      <c r="Q10" s="27"/>
      <c r="R10" s="65">
        <f t="shared" ref="R10:R12" si="1">IF(O10&gt;=Q10,((O10*0.67)+(P10*0.33)),((Q10*0.67)+(P10*0.33)))</f>
        <v>10.815000000000001</v>
      </c>
      <c r="S10" s="29">
        <f>IF(R10&gt;=10,4,0)</f>
        <v>4</v>
      </c>
    </row>
    <row r="11" spans="2:19">
      <c r="B11" s="193"/>
      <c r="C11" s="188"/>
      <c r="D11" s="188"/>
      <c r="E11" s="105" t="s">
        <v>81</v>
      </c>
      <c r="F11" s="27">
        <v>15</v>
      </c>
      <c r="G11" s="27">
        <v>16.5</v>
      </c>
      <c r="H11" s="27"/>
      <c r="I11" s="87">
        <f t="shared" si="0"/>
        <v>15.495000000000001</v>
      </c>
      <c r="J11" s="29">
        <f>IF(I11&gt;=10,4,0)</f>
        <v>4</v>
      </c>
      <c r="K11" s="137"/>
      <c r="L11" s="134"/>
      <c r="M11" s="134"/>
      <c r="N11" s="3" t="s">
        <v>85</v>
      </c>
      <c r="O11" s="27">
        <v>11</v>
      </c>
      <c r="P11" s="27">
        <v>16</v>
      </c>
      <c r="Q11" s="27"/>
      <c r="R11" s="87">
        <f t="shared" si="1"/>
        <v>12.65</v>
      </c>
      <c r="S11" s="29">
        <f>IF(R11&gt;=10,4,0)</f>
        <v>4</v>
      </c>
    </row>
    <row r="12" spans="2:19" ht="15.75" thickBot="1">
      <c r="B12" s="194"/>
      <c r="C12" s="195"/>
      <c r="D12" s="195"/>
      <c r="E12" s="4" t="s">
        <v>66</v>
      </c>
      <c r="F12" s="112">
        <v>6.5</v>
      </c>
      <c r="G12" s="112">
        <v>11.5</v>
      </c>
      <c r="H12" s="112"/>
      <c r="I12" s="87">
        <f t="shared" si="0"/>
        <v>8.15</v>
      </c>
      <c r="J12" s="29">
        <f>IF(I12&gt;=10,4,0)</f>
        <v>0</v>
      </c>
      <c r="K12" s="138"/>
      <c r="L12" s="135"/>
      <c r="M12" s="135"/>
      <c r="N12" s="4" t="s">
        <v>86</v>
      </c>
      <c r="O12" s="30">
        <v>11.75</v>
      </c>
      <c r="P12" s="30">
        <v>9.25</v>
      </c>
      <c r="Q12" s="30"/>
      <c r="R12" s="65">
        <f t="shared" si="1"/>
        <v>10.925000000000001</v>
      </c>
      <c r="S12" s="32">
        <f>IF(R12&gt;=10,4,0)</f>
        <v>4</v>
      </c>
    </row>
    <row r="13" spans="2:19">
      <c r="B13" s="196" t="s">
        <v>1</v>
      </c>
      <c r="C13" s="146">
        <f>(I13*2+I14*2)/4</f>
        <v>12.75</v>
      </c>
      <c r="D13" s="146">
        <f>IF(C13&gt;=10,8,SUM(J13:J14))</f>
        <v>8</v>
      </c>
      <c r="E13" s="5" t="s">
        <v>82</v>
      </c>
      <c r="F13" s="24">
        <v>14</v>
      </c>
      <c r="G13" s="24">
        <v>14</v>
      </c>
      <c r="H13" s="24"/>
      <c r="I13" s="33">
        <f t="shared" ref="I13:I14" si="2">IF(F13&gt;=H13,((F13*0.5)+(G13*0.5)),((H13*0.5)+(G13*0.5)))</f>
        <v>14</v>
      </c>
      <c r="J13" s="34">
        <f>IF(I13&gt;=10,4,0)</f>
        <v>4</v>
      </c>
      <c r="K13" s="175" t="s">
        <v>1</v>
      </c>
      <c r="L13" s="169">
        <f>(R13*2+R14*2)/4</f>
        <v>13.375</v>
      </c>
      <c r="M13" s="169">
        <f>IF(L13&gt;=10,8,SUM(S13:S14))</f>
        <v>8</v>
      </c>
      <c r="N13" s="5" t="s">
        <v>88</v>
      </c>
      <c r="O13" s="24">
        <v>15.5</v>
      </c>
      <c r="P13" s="24">
        <v>14</v>
      </c>
      <c r="Q13" s="24"/>
      <c r="R13" s="33">
        <f>IF(O13&gt;=Q13,((O13*0.5)+(P13*0.5)),((Q13*0.5)+(P13*0.5)))</f>
        <v>14.75</v>
      </c>
      <c r="S13" s="34">
        <f>IF(R13&gt;=10,4,0)</f>
        <v>4</v>
      </c>
    </row>
    <row r="14" spans="2:19" ht="15.75" thickBot="1">
      <c r="B14" s="197"/>
      <c r="C14" s="147"/>
      <c r="D14" s="147"/>
      <c r="E14" s="7" t="s">
        <v>68</v>
      </c>
      <c r="F14" s="37">
        <v>13</v>
      </c>
      <c r="G14" s="37">
        <v>10</v>
      </c>
      <c r="H14" s="37"/>
      <c r="I14" s="35">
        <f t="shared" si="2"/>
        <v>11.5</v>
      </c>
      <c r="J14" s="39">
        <f>IF(I14&gt;=10,4,0)</f>
        <v>4</v>
      </c>
      <c r="K14" s="191"/>
      <c r="L14" s="206"/>
      <c r="M14" s="206"/>
      <c r="N14" s="7" t="s">
        <v>87</v>
      </c>
      <c r="O14" s="37">
        <v>10</v>
      </c>
      <c r="P14" s="37">
        <v>14</v>
      </c>
      <c r="Q14" s="37"/>
      <c r="R14" s="35">
        <f t="shared" ref="R14" si="3">IF(O14&gt;=Q14,((O14*0.5)+(P14*0.5)),((Q14*0.5)+(P14*0.5)))</f>
        <v>12</v>
      </c>
      <c r="S14" s="39">
        <f>IF(R14&gt;=10,4,0)</f>
        <v>4</v>
      </c>
    </row>
    <row r="15" spans="2:19">
      <c r="B15" s="200" t="s">
        <v>3</v>
      </c>
      <c r="C15" s="202">
        <f>I15</f>
        <v>10.5</v>
      </c>
      <c r="D15" s="202">
        <f>J15</f>
        <v>1</v>
      </c>
      <c r="E15" s="207" t="s">
        <v>83</v>
      </c>
      <c r="F15" s="209">
        <v>10.5</v>
      </c>
      <c r="G15" s="211"/>
      <c r="H15" s="209"/>
      <c r="I15" s="204">
        <f>IF(F15&gt;=H15,F15,H15)</f>
        <v>10.5</v>
      </c>
      <c r="J15" s="198">
        <f>IF(I15&gt;=10,1,0)</f>
        <v>1</v>
      </c>
      <c r="K15" s="200" t="s">
        <v>3</v>
      </c>
      <c r="L15" s="202">
        <f>(R15+R16*2)/3</f>
        <v>13.666666666666666</v>
      </c>
      <c r="M15" s="202">
        <f>IF(L15&gt;=10,3,SUM(S15:S16))</f>
        <v>3</v>
      </c>
      <c r="N15" s="119" t="s">
        <v>75</v>
      </c>
      <c r="O15" s="24">
        <v>13</v>
      </c>
      <c r="P15" s="120"/>
      <c r="Q15" s="24"/>
      <c r="R15" s="121">
        <f>IF(O15&gt;=Q15,O15,Q15)</f>
        <v>13</v>
      </c>
      <c r="S15" s="127">
        <f>IF(R15&gt;=10,1,0)</f>
        <v>1</v>
      </c>
    </row>
    <row r="16" spans="2:19" ht="15.75" thickBot="1">
      <c r="B16" s="201"/>
      <c r="C16" s="203"/>
      <c r="D16" s="203"/>
      <c r="E16" s="208"/>
      <c r="F16" s="210"/>
      <c r="G16" s="212"/>
      <c r="H16" s="210"/>
      <c r="I16" s="205"/>
      <c r="J16" s="199"/>
      <c r="K16" s="201"/>
      <c r="L16" s="203"/>
      <c r="M16" s="203"/>
      <c r="N16" s="123" t="s">
        <v>89</v>
      </c>
      <c r="O16" s="30">
        <v>14</v>
      </c>
      <c r="P16" s="124"/>
      <c r="Q16" s="30"/>
      <c r="R16" s="125">
        <f>IF(O16&gt;=Q16,O16,Q16)</f>
        <v>14</v>
      </c>
      <c r="S16" s="126">
        <f>IF(R16&gt;=10,2,0)</f>
        <v>2</v>
      </c>
    </row>
    <row r="17" spans="2:19" ht="15.75" thickBot="1">
      <c r="B17" s="118" t="s">
        <v>4</v>
      </c>
      <c r="C17" s="113">
        <f>I17</f>
        <v>10</v>
      </c>
      <c r="D17" s="113">
        <f>J17</f>
        <v>1</v>
      </c>
      <c r="E17" s="114" t="s">
        <v>67</v>
      </c>
      <c r="F17" s="112">
        <v>10</v>
      </c>
      <c r="G17" s="115"/>
      <c r="H17" s="112"/>
      <c r="I17" s="116">
        <f>IF(F17&gt;=H17,F17,H17)</f>
        <v>10</v>
      </c>
      <c r="J17" s="117">
        <f>IF(I17&gt;=10,1,0)</f>
        <v>1</v>
      </c>
      <c r="K17" s="118" t="s">
        <v>4</v>
      </c>
      <c r="L17" s="113">
        <f>R17</f>
        <v>10</v>
      </c>
      <c r="M17" s="113">
        <f>S17</f>
        <v>1</v>
      </c>
      <c r="N17" s="114" t="s">
        <v>90</v>
      </c>
      <c r="O17" s="112">
        <v>10</v>
      </c>
      <c r="P17" s="115"/>
      <c r="Q17" s="112"/>
      <c r="R17" s="116">
        <f>IF(O17&gt;=Q17,O17,Q17)</f>
        <v>10</v>
      </c>
      <c r="S17" s="117">
        <f>IF(R17&gt;=10,1,0)</f>
        <v>1</v>
      </c>
    </row>
    <row r="18" spans="2:19" ht="15.75" thickBot="1">
      <c r="B18" s="14"/>
      <c r="C18" s="15" t="s">
        <v>130</v>
      </c>
      <c r="D18" s="45">
        <f>IF(K20&gt;=10,30,(IF(I18&gt;=10,30,SUM(D9:D17))))</f>
        <v>30</v>
      </c>
      <c r="F18" s="90"/>
      <c r="G18" s="167" t="s">
        <v>131</v>
      </c>
      <c r="H18" s="168"/>
      <c r="I18" s="91">
        <f>(C9*10+C13*4+C15+C17)/16</f>
        <v>12.17140625</v>
      </c>
      <c r="J18" s="16"/>
      <c r="K18" s="14"/>
      <c r="L18" s="15" t="s">
        <v>132</v>
      </c>
      <c r="M18" s="45">
        <f>IF(K20&gt;=10,30,(IF(R18&gt;=10,30,SUM(M9:M17))))</f>
        <v>30</v>
      </c>
      <c r="O18" s="90"/>
      <c r="P18" s="167" t="s">
        <v>133</v>
      </c>
      <c r="Q18" s="168"/>
      <c r="R18" s="91">
        <f>(L9*9+L13*4+L15*3+L17)/17</f>
        <v>12.015882352941176</v>
      </c>
      <c r="S18" s="14"/>
    </row>
    <row r="19" spans="2:19" ht="15.75" thickBot="1">
      <c r="B19" s="14"/>
      <c r="C19" s="50"/>
      <c r="D19" s="51"/>
      <c r="F19" s="90"/>
      <c r="G19" s="159" t="s">
        <v>134</v>
      </c>
      <c r="H19" s="160"/>
      <c r="I19" s="67" t="str">
        <f>IF(AND(F9="",F10="",F11="",F12="",F13="",F14="",F15="",F17="",H9="",H10="",H11="",H12="",H13="",H14="",H15="",H17=""),"",IF(OR(H9&gt;F9,H10&gt;F10,H11&gt;F11,H12&gt;F12,H13&gt;F13,H14&gt;F14,H15&gt;F15,H17&gt;F17),"Rattrapage","Normale"))</f>
        <v>Normale</v>
      </c>
      <c r="J19" s="16"/>
      <c r="K19" s="14"/>
      <c r="L19" s="50"/>
      <c r="M19" s="51"/>
      <c r="O19" s="90"/>
      <c r="P19" s="159" t="s">
        <v>135</v>
      </c>
      <c r="Q19" s="160"/>
      <c r="R19" s="67" t="str">
        <f>IF(AND(O9="",O10="",O11="",O12="",O13="",O14="",O15="",O17="",Q9="",Q10="",Q11="",Q12="",Q13="",Q14="",Q15="",Q17=""),"",IF(OR(Q9&gt;O9,Q10&gt;O10,Q11&gt;O11,Q12&gt;O12,Q13&gt;O13,Q14&gt;O14,Q15&gt;O15,Q17&gt;O17),"Rattrapage","Normale"))</f>
        <v>Normale</v>
      </c>
      <c r="S19" s="14"/>
    </row>
    <row r="20" spans="2:19" ht="15.75" thickBot="1">
      <c r="B20" s="14"/>
      <c r="C20" s="14"/>
      <c r="D20" s="14"/>
      <c r="E20" s="14"/>
      <c r="F20" s="89"/>
      <c r="G20" s="14"/>
      <c r="H20" s="14"/>
      <c r="I20" s="14"/>
      <c r="J20" s="100" t="s">
        <v>78</v>
      </c>
      <c r="K20" s="55">
        <f>(I18+R18)/2</f>
        <v>12.093644301470588</v>
      </c>
      <c r="L20" s="14"/>
      <c r="M20" s="14"/>
      <c r="N20" s="14"/>
      <c r="O20" s="89"/>
      <c r="P20" s="14"/>
      <c r="Q20" s="14"/>
      <c r="R20" s="14"/>
      <c r="S20" s="14"/>
    </row>
    <row r="21" spans="2:19" ht="15.75" thickBot="1">
      <c r="B21" s="14"/>
      <c r="C21" s="14"/>
      <c r="D21" s="14"/>
      <c r="E21" s="14"/>
      <c r="F21" s="14"/>
      <c r="G21" s="14"/>
      <c r="H21" s="14"/>
      <c r="I21" s="14"/>
      <c r="J21" s="101" t="s">
        <v>77</v>
      </c>
      <c r="K21" s="56">
        <f>D18+M18</f>
        <v>60</v>
      </c>
      <c r="L21" s="14"/>
      <c r="M21" s="17" t="s">
        <v>29</v>
      </c>
      <c r="N21" s="85" t="str">
        <f>IF(K22=180,IF(OR(I19="Rattrapage",R19="Rattrapage",'Relevé 2ème année Physique'!N21="Admis/ S2",'Relevé 1ère année SM'!N21="Admis/ S2"),"Admis/ S2","Admis/ S1"),"Ajourné")</f>
        <v>Admis/ S1</v>
      </c>
      <c r="O21" s="49"/>
      <c r="P21" s="49"/>
      <c r="Q21" s="49"/>
      <c r="R21" s="14"/>
      <c r="S21" s="14"/>
    </row>
    <row r="22" spans="2:19" ht="15.75" thickBot="1">
      <c r="B22" s="143" t="s">
        <v>127</v>
      </c>
      <c r="C22" s="143"/>
      <c r="D22" s="143"/>
      <c r="E22" s="14"/>
      <c r="F22" s="14"/>
      <c r="G22" s="14"/>
      <c r="H22" s="14"/>
      <c r="I22" s="14"/>
      <c r="J22" s="101" t="s">
        <v>76</v>
      </c>
      <c r="K22" s="56">
        <f>K21+'Relevé 2ème année Physique'!K22</f>
        <v>180</v>
      </c>
      <c r="L22" s="14"/>
      <c r="M22" s="165" t="s">
        <v>137</v>
      </c>
      <c r="N22" s="166"/>
      <c r="O22" s="110">
        <f>(K20+'Relevé 2ème année Physique'!K20+'Relevé 1ère année SM'!K20)/3</f>
        <v>10.717530126633989</v>
      </c>
      <c r="P22" s="89"/>
      <c r="Q22" s="89"/>
      <c r="S22" s="14"/>
    </row>
    <row r="23" spans="2:19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</row>
    <row r="24" spans="2:19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2:19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</row>
    <row r="26" spans="2:19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</row>
    <row r="27" spans="2:19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</row>
    <row r="28" spans="2:19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</row>
    <row r="29" spans="2:19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</row>
    <row r="30" spans="2:19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</row>
    <row r="31" spans="2:19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</row>
    <row r="32" spans="2:19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</row>
    <row r="33" spans="2:19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</row>
  </sheetData>
  <sheetProtection password="CEE9" sheet="1" objects="1" scenarios="1" selectLockedCells="1"/>
  <mergeCells count="36">
    <mergeCell ref="L13:L14"/>
    <mergeCell ref="M13:M14"/>
    <mergeCell ref="G18:H18"/>
    <mergeCell ref="D15:D16"/>
    <mergeCell ref="E15:E16"/>
    <mergeCell ref="F15:F16"/>
    <mergeCell ref="G15:G16"/>
    <mergeCell ref="H15:H16"/>
    <mergeCell ref="B15:B16"/>
    <mergeCell ref="C15:C16"/>
    <mergeCell ref="I15:I16"/>
    <mergeCell ref="B22:D22"/>
    <mergeCell ref="M22:N22"/>
    <mergeCell ref="P18:Q18"/>
    <mergeCell ref="G19:H19"/>
    <mergeCell ref="P19:Q19"/>
    <mergeCell ref="J15:J16"/>
    <mergeCell ref="K15:K16"/>
    <mergeCell ref="L15:L16"/>
    <mergeCell ref="M15:M16"/>
    <mergeCell ref="K9:K12"/>
    <mergeCell ref="L9:L12"/>
    <mergeCell ref="M9:M12"/>
    <mergeCell ref="K13:K14"/>
    <mergeCell ref="I1:L1"/>
    <mergeCell ref="I2:L2"/>
    <mergeCell ref="I3:L3"/>
    <mergeCell ref="E5:N5"/>
    <mergeCell ref="B7:J7"/>
    <mergeCell ref="K7:S7"/>
    <mergeCell ref="B9:B12"/>
    <mergeCell ref="C9:C12"/>
    <mergeCell ref="D9:D12"/>
    <mergeCell ref="B13:B14"/>
    <mergeCell ref="C13:C14"/>
    <mergeCell ref="D13:D14"/>
  </mergeCells>
  <conditionalFormatting sqref="I19 L9:L15 L17">
    <cfRule type="cellIs" dxfId="56" priority="29" operator="lessThan">
      <formula>10</formula>
    </cfRule>
  </conditionalFormatting>
  <conditionalFormatting sqref="I19">
    <cfRule type="containsText" dxfId="55" priority="28" operator="containsText" text="Rattrapage">
      <formula>NOT(ISERROR(SEARCH("Rattrapage",I19)))</formula>
    </cfRule>
  </conditionalFormatting>
  <conditionalFormatting sqref="C9 C15 C13 C17">
    <cfRule type="cellIs" dxfId="54" priority="27" operator="lessThan">
      <formula>10</formula>
    </cfRule>
  </conditionalFormatting>
  <conditionalFormatting sqref="F9:H14">
    <cfRule type="cellIs" dxfId="53" priority="26" operator="lessThan">
      <formula>10</formula>
    </cfRule>
  </conditionalFormatting>
  <conditionalFormatting sqref="F15 F17">
    <cfRule type="cellIs" dxfId="52" priority="25" operator="lessThan">
      <formula>10</formula>
    </cfRule>
  </conditionalFormatting>
  <conditionalFormatting sqref="H15 H17">
    <cfRule type="cellIs" dxfId="51" priority="24" operator="lessThan">
      <formula>10</formula>
    </cfRule>
  </conditionalFormatting>
  <conditionalFormatting sqref="I18">
    <cfRule type="cellIs" dxfId="50" priority="23" operator="lessThan">
      <formula>10</formula>
    </cfRule>
  </conditionalFormatting>
  <conditionalFormatting sqref="K20">
    <cfRule type="cellIs" dxfId="49" priority="22" operator="lessThan">
      <formula>10</formula>
    </cfRule>
  </conditionalFormatting>
  <conditionalFormatting sqref="R9:R12">
    <cfRule type="cellIs" dxfId="48" priority="21" operator="lessThan">
      <formula>10</formula>
    </cfRule>
  </conditionalFormatting>
  <conditionalFormatting sqref="R9:R12">
    <cfRule type="cellIs" dxfId="47" priority="20" operator="lessThan">
      <formula>10</formula>
    </cfRule>
  </conditionalFormatting>
  <conditionalFormatting sqref="O9:Q14">
    <cfRule type="cellIs" dxfId="46" priority="18" operator="lessThan">
      <formula>10</formula>
    </cfRule>
  </conditionalFormatting>
  <conditionalFormatting sqref="O15:O17">
    <cfRule type="cellIs" dxfId="45" priority="17" operator="lessThan">
      <formula>10</formula>
    </cfRule>
  </conditionalFormatting>
  <conditionalFormatting sqref="Q15:Q17">
    <cfRule type="cellIs" dxfId="44" priority="16" operator="lessThan">
      <formula>10</formula>
    </cfRule>
  </conditionalFormatting>
  <conditionalFormatting sqref="R18">
    <cfRule type="cellIs" dxfId="43" priority="15" operator="lessThan">
      <formula>10</formula>
    </cfRule>
  </conditionalFormatting>
  <conditionalFormatting sqref="O22">
    <cfRule type="cellIs" dxfId="42" priority="14" operator="lessThan">
      <formula>10</formula>
    </cfRule>
  </conditionalFormatting>
  <conditionalFormatting sqref="R9:R12">
    <cfRule type="cellIs" dxfId="41" priority="13" operator="lessThan">
      <formula>10</formula>
    </cfRule>
  </conditionalFormatting>
  <conditionalFormatting sqref="R13:R14">
    <cfRule type="cellIs" dxfId="40" priority="12" operator="lessThan">
      <formula>10</formula>
    </cfRule>
  </conditionalFormatting>
  <conditionalFormatting sqref="R15:R16">
    <cfRule type="cellIs" dxfId="39" priority="11" operator="lessThan">
      <formula>10</formula>
    </cfRule>
  </conditionalFormatting>
  <conditionalFormatting sqref="R17">
    <cfRule type="cellIs" dxfId="38" priority="10" operator="lessThan">
      <formula>10</formula>
    </cfRule>
  </conditionalFormatting>
  <conditionalFormatting sqref="N21">
    <cfRule type="containsText" dxfId="37" priority="8" operator="containsText" text="Ajourné">
      <formula>NOT(ISERROR(SEARCH("Ajourné",N21)))</formula>
    </cfRule>
    <cfRule type="containsText" dxfId="36" priority="9" operator="containsText" text="Ajouré">
      <formula>NOT(ISERROR(SEARCH("Ajouré",N21)))</formula>
    </cfRule>
  </conditionalFormatting>
  <conditionalFormatting sqref="R19">
    <cfRule type="cellIs" dxfId="35" priority="7" operator="lessThan">
      <formula>10</formula>
    </cfRule>
  </conditionalFormatting>
  <conditionalFormatting sqref="R19">
    <cfRule type="containsText" dxfId="34" priority="6" operator="containsText" text="Rattrapage">
      <formula>NOT(ISERROR(SEARCH("Rattrapage",R19)))</formula>
    </cfRule>
  </conditionalFormatting>
  <conditionalFormatting sqref="I17 I9:I15">
    <cfRule type="cellIs" dxfId="33" priority="2" operator="lessThan">
      <formula>10</formula>
    </cfRule>
    <cfRule type="cellIs" dxfId="32" priority="4" operator="lessThan">
      <formula>10</formula>
    </cfRule>
    <cfRule type="cellIs" dxfId="31" priority="5" operator="lessThan">
      <formula>10</formula>
    </cfRule>
  </conditionalFormatting>
  <conditionalFormatting sqref="I9:I12">
    <cfRule type="cellIs" dxfId="30" priority="3" operator="lessThan">
      <formula>10</formula>
    </cfRule>
  </conditionalFormatting>
  <conditionalFormatting sqref="I12">
    <cfRule type="cellIs" dxfId="29" priority="1" operator="lessThan">
      <formula>10</formula>
    </cfRule>
  </conditionalFormatting>
  <dataValidations count="1">
    <dataValidation type="decimal" allowBlank="1" showInputMessage="1" showErrorMessage="1" errorTitle="Note non valide" error="La note doit être comprise entre 0 et 20" sqref="F9:H14 Q15:Q17 F17 O9:Q14 O15:O17 F15 H15 H17">
      <formula1>0</formula1>
      <formula2>20</formula2>
    </dataValidation>
  </dataValidations>
  <pageMargins left="0.7" right="0.7" top="0.75" bottom="0.75" header="0.3" footer="0.3"/>
  <ignoredErrors>
    <ignoredError sqref="S16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S33"/>
  <sheetViews>
    <sheetView workbookViewId="0">
      <selection activeCell="G9" sqref="G9"/>
    </sheetView>
  </sheetViews>
  <sheetFormatPr baseColWidth="10" defaultRowHeight="15"/>
  <cols>
    <col min="1" max="1" width="3.28515625" style="1" customWidth="1"/>
    <col min="2" max="2" width="11.5703125" style="1" bestFit="1" customWidth="1"/>
    <col min="3" max="3" width="10.5703125" style="1" bestFit="1" customWidth="1"/>
    <col min="4" max="4" width="6.140625" style="1" bestFit="1" customWidth="1"/>
    <col min="5" max="5" width="28.85546875" style="1" bestFit="1" customWidth="1"/>
    <col min="6" max="6" width="7" style="1" bestFit="1" customWidth="1"/>
    <col min="7" max="7" width="6.140625" style="1" bestFit="1" customWidth="1"/>
    <col min="8" max="8" width="9.5703125" style="1" bestFit="1" customWidth="1"/>
    <col min="9" max="9" width="11.85546875" style="1" bestFit="1" customWidth="1"/>
    <col min="10" max="10" width="18.7109375" style="1" bestFit="1" customWidth="1"/>
    <col min="11" max="11" width="11.5703125" style="1" bestFit="1" customWidth="1"/>
    <col min="12" max="12" width="10.5703125" style="1" bestFit="1" customWidth="1"/>
    <col min="13" max="13" width="9.85546875" style="1" bestFit="1" customWidth="1"/>
    <col min="14" max="14" width="28.85546875" style="1" bestFit="1" customWidth="1"/>
    <col min="15" max="15" width="7" style="1" bestFit="1" customWidth="1"/>
    <col min="16" max="16" width="6.140625" style="1" bestFit="1" customWidth="1"/>
    <col min="17" max="17" width="9.5703125" style="1" bestFit="1" customWidth="1"/>
    <col min="18" max="18" width="11.28515625" style="1" bestFit="1" customWidth="1"/>
    <col min="19" max="19" width="7.5703125" style="1" bestFit="1" customWidth="1"/>
    <col min="20" max="16384" width="11.42578125" style="1"/>
  </cols>
  <sheetData>
    <row r="1" spans="2:19" ht="15" customHeight="1">
      <c r="B1" s="103"/>
      <c r="C1" s="103"/>
      <c r="D1" s="103"/>
      <c r="E1" s="103"/>
      <c r="F1" s="71"/>
      <c r="G1" s="71"/>
      <c r="H1" s="103"/>
      <c r="I1" s="139" t="s">
        <v>124</v>
      </c>
      <c r="J1" s="139"/>
      <c r="K1" s="139"/>
      <c r="L1" s="139"/>
      <c r="M1" s="71"/>
      <c r="N1" s="71"/>
      <c r="O1" s="103"/>
      <c r="P1" s="103"/>
      <c r="Q1" s="103"/>
      <c r="R1" s="103"/>
      <c r="S1" s="103"/>
    </row>
    <row r="2" spans="2:19" ht="15" customHeight="1">
      <c r="B2" s="103"/>
      <c r="C2" s="103"/>
      <c r="D2" s="103"/>
      <c r="E2" s="103"/>
      <c r="F2" s="71"/>
      <c r="G2" s="71"/>
      <c r="H2" s="71"/>
      <c r="I2" s="139" t="s">
        <v>125</v>
      </c>
      <c r="J2" s="139"/>
      <c r="K2" s="139"/>
      <c r="L2" s="139"/>
      <c r="M2" s="71"/>
      <c r="N2" s="71"/>
      <c r="O2" s="103"/>
      <c r="P2" s="103"/>
      <c r="Q2" s="103"/>
      <c r="R2" s="103"/>
      <c r="S2" s="103"/>
    </row>
    <row r="3" spans="2:19" ht="15" customHeight="1">
      <c r="B3" s="103"/>
      <c r="C3" s="103"/>
      <c r="D3" s="103"/>
      <c r="E3" s="103"/>
      <c r="F3" s="71"/>
      <c r="G3" s="71"/>
      <c r="H3" s="71"/>
      <c r="I3" s="139" t="s">
        <v>126</v>
      </c>
      <c r="J3" s="139"/>
      <c r="K3" s="139"/>
      <c r="L3" s="139"/>
      <c r="M3" s="71"/>
      <c r="N3" s="71"/>
      <c r="O3" s="103"/>
      <c r="P3" s="103"/>
      <c r="Q3" s="103"/>
      <c r="R3" s="103"/>
      <c r="S3" s="103"/>
    </row>
    <row r="4" spans="2:19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2:19" ht="20.25">
      <c r="B5" s="103"/>
      <c r="C5" s="103"/>
      <c r="D5" s="103"/>
      <c r="E5" s="183" t="s">
        <v>91</v>
      </c>
      <c r="F5" s="184"/>
      <c r="G5" s="184"/>
      <c r="H5" s="184"/>
      <c r="I5" s="184"/>
      <c r="J5" s="184"/>
      <c r="K5" s="184"/>
      <c r="L5" s="184"/>
      <c r="M5" s="184"/>
      <c r="N5" s="184"/>
      <c r="O5" s="103"/>
      <c r="P5" s="103"/>
      <c r="Q5" s="103"/>
      <c r="R5" s="103"/>
      <c r="S5" s="103"/>
    </row>
    <row r="6" spans="2:19" ht="15.75" thickBot="1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2:19" ht="15.75" thickBot="1">
      <c r="B7" s="148" t="s">
        <v>57</v>
      </c>
      <c r="C7" s="149"/>
      <c r="D7" s="149"/>
      <c r="E7" s="149"/>
      <c r="F7" s="149"/>
      <c r="G7" s="149"/>
      <c r="H7" s="149"/>
      <c r="I7" s="149"/>
      <c r="J7" s="150"/>
      <c r="K7" s="151" t="s">
        <v>58</v>
      </c>
      <c r="L7" s="152"/>
      <c r="M7" s="152"/>
      <c r="N7" s="152"/>
      <c r="O7" s="152"/>
      <c r="P7" s="152"/>
      <c r="Q7" s="152"/>
      <c r="R7" s="152"/>
      <c r="S7" s="153"/>
    </row>
    <row r="8" spans="2:19" ht="26.25" thickBot="1">
      <c r="B8" s="20" t="s">
        <v>27</v>
      </c>
      <c r="C8" s="53" t="s">
        <v>113</v>
      </c>
      <c r="D8" s="53" t="s">
        <v>114</v>
      </c>
      <c r="E8" s="21" t="s">
        <v>28</v>
      </c>
      <c r="F8" s="53" t="s">
        <v>109</v>
      </c>
      <c r="G8" s="53" t="s">
        <v>110</v>
      </c>
      <c r="H8" s="53" t="s">
        <v>121</v>
      </c>
      <c r="I8" s="53" t="s">
        <v>112</v>
      </c>
      <c r="J8" s="54" t="s">
        <v>111</v>
      </c>
      <c r="K8" s="20" t="s">
        <v>27</v>
      </c>
      <c r="L8" s="53" t="s">
        <v>113</v>
      </c>
      <c r="M8" s="53" t="s">
        <v>115</v>
      </c>
      <c r="N8" s="21" t="s">
        <v>28</v>
      </c>
      <c r="O8" s="47" t="s">
        <v>109</v>
      </c>
      <c r="P8" s="47" t="s">
        <v>110</v>
      </c>
      <c r="Q8" s="47" t="s">
        <v>121</v>
      </c>
      <c r="R8" s="53" t="s">
        <v>112</v>
      </c>
      <c r="S8" s="54" t="s">
        <v>116</v>
      </c>
    </row>
    <row r="9" spans="2:19">
      <c r="B9" s="192" t="s">
        <v>93</v>
      </c>
      <c r="C9" s="187">
        <f>(I9*3+I10*2)/5</f>
        <v>10.689</v>
      </c>
      <c r="D9" s="187">
        <f>IF(C9&gt;=10,10,SUM(J9:J10))</f>
        <v>10</v>
      </c>
      <c r="E9" s="2" t="s">
        <v>95</v>
      </c>
      <c r="F9" s="24">
        <v>10</v>
      </c>
      <c r="G9" s="24">
        <v>13</v>
      </c>
      <c r="H9" s="24"/>
      <c r="I9" s="25">
        <f>IF(F9&gt;=H9,((F9*0.67)+(G9*0.33)),((H9*0.67)+(G9*0.33)))</f>
        <v>10.99</v>
      </c>
      <c r="J9" s="26">
        <f>IF(I9&gt;=10,6,0)</f>
        <v>6</v>
      </c>
      <c r="K9" s="185" t="s">
        <v>93</v>
      </c>
      <c r="L9" s="187">
        <f>(R9*3+R10*2)/5</f>
        <v>10.1</v>
      </c>
      <c r="M9" s="187">
        <f>IF(L9&gt;=10,10,SUM(S9:S10))</f>
        <v>10</v>
      </c>
      <c r="N9" s="2" t="s">
        <v>101</v>
      </c>
      <c r="O9" s="24">
        <v>11.5</v>
      </c>
      <c r="P9" s="24">
        <v>12.5</v>
      </c>
      <c r="Q9" s="24"/>
      <c r="R9" s="66">
        <f>IF(O9&gt;=Q9,((O9*0.67)+(P9*0.33)),((Q9*0.67)+(P9*0.33)))</f>
        <v>11.83</v>
      </c>
      <c r="S9" s="26">
        <f>IF(R9&gt;=10,6,0)</f>
        <v>6</v>
      </c>
    </row>
    <row r="10" spans="2:19" ht="15.75" thickBot="1">
      <c r="B10" s="194"/>
      <c r="C10" s="195"/>
      <c r="D10" s="195"/>
      <c r="E10" s="4" t="s">
        <v>94</v>
      </c>
      <c r="F10" s="30">
        <v>9</v>
      </c>
      <c r="G10" s="30">
        <v>12.75</v>
      </c>
      <c r="H10" s="30"/>
      <c r="I10" s="31">
        <f t="shared" ref="I10:I12" si="0">IF(F10&gt;=H10,((F10*0.67)+(G10*0.33)),((H10*0.67)+(G10*0.33)))</f>
        <v>10.237500000000001</v>
      </c>
      <c r="J10" s="32">
        <f>IF(I10&gt;=10,4,0)</f>
        <v>4</v>
      </c>
      <c r="K10" s="213"/>
      <c r="L10" s="195"/>
      <c r="M10" s="195"/>
      <c r="N10" s="4" t="s">
        <v>102</v>
      </c>
      <c r="O10" s="30">
        <v>8</v>
      </c>
      <c r="P10" s="30">
        <v>6.5</v>
      </c>
      <c r="Q10" s="30"/>
      <c r="R10" s="132">
        <f t="shared" ref="R10:R12" si="1">IF(O10&gt;=Q10,((O10*0.67)+(P10*0.33)),((Q10*0.67)+(P10*0.33)))</f>
        <v>7.5050000000000008</v>
      </c>
      <c r="S10" s="32">
        <f>IF(R10&gt;=10,4,0)</f>
        <v>0</v>
      </c>
    </row>
    <row r="11" spans="2:19">
      <c r="B11" s="192" t="s">
        <v>92</v>
      </c>
      <c r="C11" s="187">
        <f>(I11*3+I12*2)/5</f>
        <v>13.638</v>
      </c>
      <c r="D11" s="187">
        <f>IF(C11&gt;=10,9,SUM(J11:J12))</f>
        <v>9</v>
      </c>
      <c r="E11" s="128" t="s">
        <v>96</v>
      </c>
      <c r="F11" s="111">
        <v>12.5</v>
      </c>
      <c r="G11" s="111">
        <v>11.5</v>
      </c>
      <c r="H11" s="111"/>
      <c r="I11" s="86">
        <f t="shared" si="0"/>
        <v>12.17</v>
      </c>
      <c r="J11" s="129">
        <f>IF(I11&gt;=10,5,0)</f>
        <v>5</v>
      </c>
      <c r="K11" s="185" t="s">
        <v>92</v>
      </c>
      <c r="L11" s="187">
        <f>(R11*3+R12*2)/5</f>
        <v>13.464999999999998</v>
      </c>
      <c r="M11" s="187">
        <f>IF(L11&gt;=10,9,SUM(S11:S12))</f>
        <v>9</v>
      </c>
      <c r="N11" s="2" t="s">
        <v>103</v>
      </c>
      <c r="O11" s="24">
        <v>12.5</v>
      </c>
      <c r="P11" s="24">
        <v>15</v>
      </c>
      <c r="Q11" s="24"/>
      <c r="R11" s="66">
        <f t="shared" si="1"/>
        <v>13.324999999999999</v>
      </c>
      <c r="S11" s="26">
        <f>IF(R11&gt;=10,5,0)</f>
        <v>5</v>
      </c>
    </row>
    <row r="12" spans="2:19" ht="15.75" thickBot="1">
      <c r="B12" s="194"/>
      <c r="C12" s="195"/>
      <c r="D12" s="195"/>
      <c r="E12" s="4" t="s">
        <v>97</v>
      </c>
      <c r="F12" s="112">
        <v>16.5</v>
      </c>
      <c r="G12" s="112">
        <v>14.5</v>
      </c>
      <c r="H12" s="112"/>
      <c r="I12" s="87">
        <f t="shared" si="0"/>
        <v>15.840000000000002</v>
      </c>
      <c r="J12" s="29">
        <f>IF(I12&gt;=10,4,0)</f>
        <v>4</v>
      </c>
      <c r="K12" s="213"/>
      <c r="L12" s="195"/>
      <c r="M12" s="195"/>
      <c r="N12" s="4" t="s">
        <v>104</v>
      </c>
      <c r="O12" s="30">
        <v>14.5</v>
      </c>
      <c r="P12" s="30">
        <v>12</v>
      </c>
      <c r="Q12" s="30"/>
      <c r="R12" s="132">
        <f t="shared" si="1"/>
        <v>13.675000000000001</v>
      </c>
      <c r="S12" s="32">
        <f>IF(R12&gt;=10,4,0)</f>
        <v>4</v>
      </c>
    </row>
    <row r="13" spans="2:19">
      <c r="B13" s="196" t="s">
        <v>1</v>
      </c>
      <c r="C13" s="146">
        <f>(I13*2+I14*2)/4</f>
        <v>9.125</v>
      </c>
      <c r="D13" s="146">
        <f>IF(C13&gt;=10,6,SUM(J13:J14))</f>
        <v>3</v>
      </c>
      <c r="E13" s="5" t="s">
        <v>98</v>
      </c>
      <c r="F13" s="24">
        <v>2</v>
      </c>
      <c r="G13" s="24">
        <v>13</v>
      </c>
      <c r="H13" s="24"/>
      <c r="I13" s="33">
        <f>IF(F13&gt;=H13,((F13*0.75)+(G13*0.25)),((H13*0.75)+(G13*0.25)))</f>
        <v>4.75</v>
      </c>
      <c r="J13" s="34">
        <f>IF(I13&gt;=10,3,0)</f>
        <v>0</v>
      </c>
      <c r="K13" s="175" t="s">
        <v>1</v>
      </c>
      <c r="L13" s="169">
        <f>(R13*2+R14*2)/4</f>
        <v>8.875</v>
      </c>
      <c r="M13" s="169">
        <f>IF(L13&gt;=10,6,SUM(S13:S14))</f>
        <v>0</v>
      </c>
      <c r="N13" s="5" t="s">
        <v>61</v>
      </c>
      <c r="O13" s="24">
        <v>10</v>
      </c>
      <c r="P13" s="24">
        <v>7</v>
      </c>
      <c r="Q13" s="24"/>
      <c r="R13" s="33">
        <f>IF(O13&gt;=Q13,((O13*0.5)+(P13*0.5)),((Q13*0.5)+(P13*0.5)))</f>
        <v>8.5</v>
      </c>
      <c r="S13" s="34">
        <f>IF(R13&gt;=10,3,0)</f>
        <v>0</v>
      </c>
    </row>
    <row r="14" spans="2:19" ht="15.75" thickBot="1">
      <c r="B14" s="197"/>
      <c r="C14" s="147"/>
      <c r="D14" s="147"/>
      <c r="E14" s="7" t="s">
        <v>138</v>
      </c>
      <c r="F14" s="37">
        <v>13.5</v>
      </c>
      <c r="G14" s="37">
        <v>13.5</v>
      </c>
      <c r="H14" s="37"/>
      <c r="I14" s="35">
        <f>IF(F14&gt;=H14,((F14*0.75)+(G14*0.25)),((H14*0.75)+(G14*0.25)))</f>
        <v>13.5</v>
      </c>
      <c r="J14" s="39">
        <f>IF(I14&gt;=10,3,0)</f>
        <v>3</v>
      </c>
      <c r="K14" s="191"/>
      <c r="L14" s="206"/>
      <c r="M14" s="206"/>
      <c r="N14" s="7" t="s">
        <v>105</v>
      </c>
      <c r="O14" s="37">
        <v>7.5</v>
      </c>
      <c r="P14" s="37">
        <v>11</v>
      </c>
      <c r="Q14" s="37"/>
      <c r="R14" s="35">
        <f t="shared" ref="R14" si="2">IF(O14&gt;=Q14,((O14*0.5)+(P14*0.5)),((Q14*0.5)+(P14*0.5)))</f>
        <v>9.25</v>
      </c>
      <c r="S14" s="39">
        <f>IF(R14&gt;=10,3,0)</f>
        <v>0</v>
      </c>
    </row>
    <row r="15" spans="2:19">
      <c r="B15" s="216" t="s">
        <v>3</v>
      </c>
      <c r="C15" s="202">
        <f>(I15+I16)/2</f>
        <v>12.875</v>
      </c>
      <c r="D15" s="202">
        <f>IF(C15&gt;=10,4,SUM(J15:J16))</f>
        <v>4</v>
      </c>
      <c r="E15" s="130" t="s">
        <v>99</v>
      </c>
      <c r="F15" s="24">
        <v>15</v>
      </c>
      <c r="G15" s="120"/>
      <c r="H15" s="24"/>
      <c r="I15" s="121">
        <f>IF(F15&gt;=H15,F15,H15)</f>
        <v>15</v>
      </c>
      <c r="J15" s="122">
        <f>IF(I15&gt;=10,2,0)</f>
        <v>2</v>
      </c>
      <c r="K15" s="214" t="s">
        <v>3</v>
      </c>
      <c r="L15" s="202">
        <f>(R15+R16)/2</f>
        <v>11.75</v>
      </c>
      <c r="M15" s="202">
        <f>IF(L15&gt;=10,4,SUM(S15:S16))</f>
        <v>4</v>
      </c>
      <c r="N15" s="119" t="s">
        <v>106</v>
      </c>
      <c r="O15" s="24">
        <v>10.5</v>
      </c>
      <c r="P15" s="120"/>
      <c r="Q15" s="24"/>
      <c r="R15" s="121">
        <f>IF(O15&gt;=Q15,O15,Q15)</f>
        <v>10.5</v>
      </c>
      <c r="S15" s="127">
        <f>IF(R15&gt;=10,2,0)</f>
        <v>2</v>
      </c>
    </row>
    <row r="16" spans="2:19" ht="15.75" thickBot="1">
      <c r="B16" s="217"/>
      <c r="C16" s="203"/>
      <c r="D16" s="203"/>
      <c r="E16" s="131" t="s">
        <v>100</v>
      </c>
      <c r="F16" s="30">
        <v>10.75</v>
      </c>
      <c r="G16" s="124"/>
      <c r="H16" s="30"/>
      <c r="I16" s="125">
        <f>IF(F16&gt;=H16,F16,H16)</f>
        <v>10.75</v>
      </c>
      <c r="J16" s="126">
        <f>IF(I16&gt;=10,2,0)</f>
        <v>2</v>
      </c>
      <c r="K16" s="215"/>
      <c r="L16" s="203"/>
      <c r="M16" s="203"/>
      <c r="N16" s="123" t="s">
        <v>107</v>
      </c>
      <c r="O16" s="30">
        <v>13</v>
      </c>
      <c r="P16" s="124"/>
      <c r="Q16" s="30"/>
      <c r="R16" s="125">
        <f>IF(O16&gt;=Q16,O16,Q16)</f>
        <v>13</v>
      </c>
      <c r="S16" s="126">
        <f>IF(R16&gt;=10,2,0)</f>
        <v>2</v>
      </c>
    </row>
    <row r="17" spans="2:19" ht="15.75" thickBot="1">
      <c r="B17" s="118" t="s">
        <v>4</v>
      </c>
      <c r="C17" s="113">
        <f>I17</f>
        <v>7</v>
      </c>
      <c r="D17" s="113">
        <f>J17</f>
        <v>0</v>
      </c>
      <c r="E17" s="114" t="s">
        <v>67</v>
      </c>
      <c r="F17" s="112">
        <v>7</v>
      </c>
      <c r="G17" s="115"/>
      <c r="H17" s="112"/>
      <c r="I17" s="116">
        <f>IF(F17&gt;=H17,F17,H17)</f>
        <v>7</v>
      </c>
      <c r="J17" s="117">
        <f>IF(I17&gt;=10,1,0)</f>
        <v>0</v>
      </c>
      <c r="K17" s="118" t="s">
        <v>4</v>
      </c>
      <c r="L17" s="113">
        <f>R17</f>
        <v>19</v>
      </c>
      <c r="M17" s="113">
        <f>S17</f>
        <v>1</v>
      </c>
      <c r="N17" s="114" t="s">
        <v>108</v>
      </c>
      <c r="O17" s="112">
        <v>19</v>
      </c>
      <c r="P17" s="115"/>
      <c r="Q17" s="112"/>
      <c r="R17" s="116">
        <f>IF(O17&gt;=Q17,O17,Q17)</f>
        <v>19</v>
      </c>
      <c r="S17" s="117">
        <f>IF(R17&gt;=10,1,0)</f>
        <v>1</v>
      </c>
    </row>
    <row r="18" spans="2:19" ht="15.75" thickBot="1">
      <c r="B18" s="14"/>
      <c r="C18" s="15" t="s">
        <v>130</v>
      </c>
      <c r="D18" s="45">
        <f>IF(K20&gt;=10,30,(IF(I18&gt;=10,30,SUM(D9:D17))))</f>
        <v>30</v>
      </c>
      <c r="F18" s="90"/>
      <c r="G18" s="167" t="s">
        <v>131</v>
      </c>
      <c r="H18" s="168"/>
      <c r="I18" s="91">
        <f>(C9*5+C11*5+C13*4+C15*2+C17)/17</f>
        <v>11.228529411764706</v>
      </c>
      <c r="J18" s="16"/>
      <c r="K18" s="14"/>
      <c r="L18" s="15" t="s">
        <v>132</v>
      </c>
      <c r="M18" s="45">
        <f>IF(K20&gt;=10,30,(IF(R18&gt;=10,30,SUM(M9:M17))))</f>
        <v>30</v>
      </c>
      <c r="O18" s="90"/>
      <c r="P18" s="167" t="s">
        <v>133</v>
      </c>
      <c r="Q18" s="168"/>
      <c r="R18" s="91">
        <f>(L9*5+L11*5+L13*4+L15*2+L17)/17</f>
        <v>11.519117647058822</v>
      </c>
      <c r="S18" s="14"/>
    </row>
    <row r="19" spans="2:19" ht="15.75" thickBot="1">
      <c r="B19" s="14"/>
      <c r="C19" s="50"/>
      <c r="D19" s="51"/>
      <c r="F19" s="90"/>
      <c r="G19" s="159" t="s">
        <v>134</v>
      </c>
      <c r="H19" s="160"/>
      <c r="I19" s="67" t="str">
        <f>IF(AND(F9="",F10="",F11="",F12="",F13="",F14="",F15="",F17="",H9="",H10="",H11="",H12="",H13="",H14="",H15="",H17=""),"",IF(OR(H9&gt;F9,H10&gt;F10,H11&gt;F11,H12&gt;F12,H13&gt;F13,H14&gt;F14,H15&gt;F15,H17&gt;F17),"Rattrapage","Normale"))</f>
        <v>Normale</v>
      </c>
      <c r="J19" s="16"/>
      <c r="K19" s="14"/>
      <c r="L19" s="50"/>
      <c r="M19" s="51"/>
      <c r="O19" s="90"/>
      <c r="P19" s="159" t="s">
        <v>135</v>
      </c>
      <c r="Q19" s="160"/>
      <c r="R19" s="67" t="str">
        <f>IF(AND(O9="",O10="",O11="",O12="",O13="",O14="",O15="",O17="",Q9="",Q10="",Q11="",Q12="",Q13="",Q14="",Q15="",Q17=""),"",IF(OR(Q9&gt;O9,Q10&gt;O10,Q11&gt;O11,Q12&gt;O12,Q13&gt;O13,Q14&gt;O14,Q15&gt;O15,Q17&gt;O17),"Rattrapage","Normale"))</f>
        <v>Normale</v>
      </c>
      <c r="S19" s="14"/>
    </row>
    <row r="20" spans="2:19" ht="15.75" thickBot="1">
      <c r="B20" s="14"/>
      <c r="C20" s="14"/>
      <c r="D20" s="14"/>
      <c r="E20" s="14"/>
      <c r="F20" s="89"/>
      <c r="G20" s="14"/>
      <c r="H20" s="14"/>
      <c r="I20" s="14"/>
      <c r="J20" s="100" t="s">
        <v>78</v>
      </c>
      <c r="K20" s="55">
        <f>(I18+R18)/2</f>
        <v>11.373823529411764</v>
      </c>
      <c r="L20" s="14"/>
      <c r="M20" s="14"/>
      <c r="N20" s="14"/>
      <c r="O20" s="89"/>
      <c r="P20" s="14"/>
      <c r="Q20" s="14"/>
      <c r="R20" s="14"/>
      <c r="S20" s="14"/>
    </row>
    <row r="21" spans="2:19" ht="15.75" thickBot="1">
      <c r="B21" s="14"/>
      <c r="C21" s="14"/>
      <c r="D21" s="14"/>
      <c r="E21" s="14"/>
      <c r="F21" s="14"/>
      <c r="G21" s="14"/>
      <c r="H21" s="14"/>
      <c r="I21" s="14"/>
      <c r="J21" s="101" t="s">
        <v>77</v>
      </c>
      <c r="K21" s="56">
        <f>D18+M18</f>
        <v>60</v>
      </c>
      <c r="L21" s="14"/>
      <c r="M21" s="17" t="s">
        <v>29</v>
      </c>
      <c r="N21" s="85" t="str">
        <f>IF(K22=180,IF(OR(I19="Rattrapage",R19="Rattrapage",'Relevé 2ème année Physique'!N21="Admis/ S2",'Relevé 1ère année SM'!N21="Admis/ S2"),"Admis/ S2","Admis/ S1"),"Ajourné")</f>
        <v>Admis/ S1</v>
      </c>
      <c r="O21" s="49"/>
      <c r="P21" s="49"/>
      <c r="Q21" s="49"/>
      <c r="R21" s="14"/>
      <c r="S21" s="14"/>
    </row>
    <row r="22" spans="2:19" ht="15.75" thickBot="1">
      <c r="B22" s="143" t="s">
        <v>127</v>
      </c>
      <c r="C22" s="143"/>
      <c r="D22" s="143"/>
      <c r="E22" s="14"/>
      <c r="F22" s="14"/>
      <c r="G22" s="14"/>
      <c r="H22" s="14"/>
      <c r="I22" s="14"/>
      <c r="J22" s="101" t="s">
        <v>76</v>
      </c>
      <c r="K22" s="56">
        <f>K21+'Relevé 2ème année Physique'!K22</f>
        <v>180</v>
      </c>
      <c r="L22" s="14"/>
      <c r="M22" s="165" t="s">
        <v>137</v>
      </c>
      <c r="N22" s="166"/>
      <c r="O22" s="110">
        <f>(K20+'Relevé 2ème année Physique'!K20+'Relevé 1ère année SM'!K20)/3</f>
        <v>10.477589869281045</v>
      </c>
      <c r="P22" s="89"/>
      <c r="Q22" s="89"/>
      <c r="S22" s="14"/>
    </row>
    <row r="23" spans="2:19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</row>
    <row r="24" spans="2:19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2:19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</row>
    <row r="26" spans="2:19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</row>
    <row r="27" spans="2:19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</row>
    <row r="28" spans="2:19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</row>
    <row r="29" spans="2:19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</row>
    <row r="30" spans="2:19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</row>
    <row r="31" spans="2:19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</row>
    <row r="32" spans="2:19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</row>
    <row r="33" spans="2:19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</row>
  </sheetData>
  <sheetProtection password="CEE9" sheet="1" objects="1" scenarios="1" selectLockedCells="1"/>
  <mergeCells count="36">
    <mergeCell ref="P18:Q18"/>
    <mergeCell ref="G19:H19"/>
    <mergeCell ref="P19:Q19"/>
    <mergeCell ref="M13:M14"/>
    <mergeCell ref="K13:K14"/>
    <mergeCell ref="L13:L14"/>
    <mergeCell ref="B22:D22"/>
    <mergeCell ref="M22:N22"/>
    <mergeCell ref="K15:K16"/>
    <mergeCell ref="L15:L16"/>
    <mergeCell ref="M15:M16"/>
    <mergeCell ref="B15:B16"/>
    <mergeCell ref="C15:C16"/>
    <mergeCell ref="D15:D16"/>
    <mergeCell ref="G18:H18"/>
    <mergeCell ref="B13:B14"/>
    <mergeCell ref="C13:C14"/>
    <mergeCell ref="D13:D14"/>
    <mergeCell ref="C11:C12"/>
    <mergeCell ref="D11:D12"/>
    <mergeCell ref="K9:K10"/>
    <mergeCell ref="L9:L10"/>
    <mergeCell ref="M9:M10"/>
    <mergeCell ref="K11:K12"/>
    <mergeCell ref="I1:L1"/>
    <mergeCell ref="I2:L2"/>
    <mergeCell ref="I3:L3"/>
    <mergeCell ref="E5:N5"/>
    <mergeCell ref="B7:J7"/>
    <mergeCell ref="K7:S7"/>
    <mergeCell ref="B9:B10"/>
    <mergeCell ref="C9:C10"/>
    <mergeCell ref="D9:D10"/>
    <mergeCell ref="B11:B12"/>
    <mergeCell ref="L11:L12"/>
    <mergeCell ref="M11:M12"/>
  </mergeCells>
  <phoneticPr fontId="7" type="noConversion"/>
  <conditionalFormatting sqref="I19 L9 L17 L13:L15 L11">
    <cfRule type="cellIs" dxfId="28" priority="29" operator="lessThan">
      <formula>10</formula>
    </cfRule>
  </conditionalFormatting>
  <conditionalFormatting sqref="I19">
    <cfRule type="containsText" dxfId="27" priority="28" operator="containsText" text="Rattrapage">
      <formula>NOT(ISERROR(SEARCH("Rattrapage",I19)))</formula>
    </cfRule>
  </conditionalFormatting>
  <conditionalFormatting sqref="C9 C13 C17 C11">
    <cfRule type="cellIs" dxfId="26" priority="27" operator="lessThan">
      <formula>10</formula>
    </cfRule>
  </conditionalFormatting>
  <conditionalFormatting sqref="F9:H14">
    <cfRule type="cellIs" dxfId="25" priority="26" operator="lessThan">
      <formula>10</formula>
    </cfRule>
  </conditionalFormatting>
  <conditionalFormatting sqref="F15:F17">
    <cfRule type="cellIs" dxfId="24" priority="25" operator="lessThan">
      <formula>10</formula>
    </cfRule>
  </conditionalFormatting>
  <conditionalFormatting sqref="H15:H17">
    <cfRule type="cellIs" dxfId="23" priority="24" operator="lessThan">
      <formula>10</formula>
    </cfRule>
  </conditionalFormatting>
  <conditionalFormatting sqref="I18">
    <cfRule type="cellIs" dxfId="22" priority="23" operator="lessThan">
      <formula>10</formula>
    </cfRule>
  </conditionalFormatting>
  <conditionalFormatting sqref="K20">
    <cfRule type="cellIs" dxfId="21" priority="22" operator="lessThan">
      <formula>10</formula>
    </cfRule>
  </conditionalFormatting>
  <conditionalFormatting sqref="R9:R12">
    <cfRule type="cellIs" dxfId="20" priority="21" operator="lessThan">
      <formula>10</formula>
    </cfRule>
  </conditionalFormatting>
  <conditionalFormatting sqref="R9:R12">
    <cfRule type="cellIs" dxfId="19" priority="20" operator="lessThan">
      <formula>10</formula>
    </cfRule>
  </conditionalFormatting>
  <conditionalFormatting sqref="O9:Q14">
    <cfRule type="cellIs" dxfId="18" priority="19" operator="lessThan">
      <formula>10</formula>
    </cfRule>
  </conditionalFormatting>
  <conditionalFormatting sqref="O15:O17">
    <cfRule type="cellIs" dxfId="17" priority="18" operator="lessThan">
      <formula>10</formula>
    </cfRule>
  </conditionalFormatting>
  <conditionalFormatting sqref="Q15:Q17">
    <cfRule type="cellIs" dxfId="16" priority="17" operator="lessThan">
      <formula>10</formula>
    </cfRule>
  </conditionalFormatting>
  <conditionalFormatting sqref="R18">
    <cfRule type="cellIs" dxfId="15" priority="16" operator="lessThan">
      <formula>10</formula>
    </cfRule>
  </conditionalFormatting>
  <conditionalFormatting sqref="O22">
    <cfRule type="cellIs" dxfId="14" priority="15" operator="lessThan">
      <formula>10</formula>
    </cfRule>
  </conditionalFormatting>
  <conditionalFormatting sqref="R9:R12">
    <cfRule type="cellIs" dxfId="13" priority="14" operator="lessThan">
      <formula>10</formula>
    </cfRule>
  </conditionalFormatting>
  <conditionalFormatting sqref="R13:R14">
    <cfRule type="cellIs" dxfId="12" priority="13" operator="lessThan">
      <formula>10</formula>
    </cfRule>
  </conditionalFormatting>
  <conditionalFormatting sqref="R15:R16">
    <cfRule type="cellIs" dxfId="11" priority="12" operator="lessThan">
      <formula>10</formula>
    </cfRule>
  </conditionalFormatting>
  <conditionalFormatting sqref="R17">
    <cfRule type="cellIs" dxfId="10" priority="11" operator="lessThan">
      <formula>10</formula>
    </cfRule>
  </conditionalFormatting>
  <conditionalFormatting sqref="N21">
    <cfRule type="containsText" dxfId="9" priority="9" operator="containsText" text="Ajourné">
      <formula>NOT(ISERROR(SEARCH("Ajourné",N21)))</formula>
    </cfRule>
    <cfRule type="containsText" dxfId="8" priority="10" operator="containsText" text="Ajouré">
      <formula>NOT(ISERROR(SEARCH("Ajouré",N21)))</formula>
    </cfRule>
  </conditionalFormatting>
  <conditionalFormatting sqref="R19">
    <cfRule type="cellIs" dxfId="7" priority="8" operator="lessThan">
      <formula>10</formula>
    </cfRule>
  </conditionalFormatting>
  <conditionalFormatting sqref="R19">
    <cfRule type="containsText" dxfId="6" priority="7" operator="containsText" text="Rattrapage">
      <formula>NOT(ISERROR(SEARCH("Rattrapage",R19)))</formula>
    </cfRule>
  </conditionalFormatting>
  <conditionalFormatting sqref="I9:I17">
    <cfRule type="cellIs" dxfId="5" priority="3" operator="lessThan">
      <formula>10</formula>
    </cfRule>
    <cfRule type="cellIs" dxfId="4" priority="5" operator="lessThan">
      <formula>10</formula>
    </cfRule>
    <cfRule type="cellIs" dxfId="3" priority="6" operator="lessThan">
      <formula>10</formula>
    </cfRule>
  </conditionalFormatting>
  <conditionalFormatting sqref="I9:I12">
    <cfRule type="cellIs" dxfId="2" priority="4" operator="lessThan">
      <formula>10</formula>
    </cfRule>
  </conditionalFormatting>
  <conditionalFormatting sqref="I12">
    <cfRule type="cellIs" dxfId="1" priority="2" operator="lessThan">
      <formula>10</formula>
    </cfRule>
  </conditionalFormatting>
  <conditionalFormatting sqref="C15">
    <cfRule type="cellIs" dxfId="0" priority="1" operator="lessThan">
      <formula>10</formula>
    </cfRule>
  </conditionalFormatting>
  <dataValidations count="1">
    <dataValidation type="decimal" allowBlank="1" showInputMessage="1" showErrorMessage="1" errorTitle="Note non valide" error="La note doit être comprise entre 0 et 20" sqref="F9:H14 Q15:Q17 O9:Q14 O15:O17 F15:F17 H15:H17">
      <formula1>0</formula1>
      <formula2>20</formula2>
    </dataValidation>
  </dataValidations>
  <pageMargins left="0.7" right="0.7" top="0.75" bottom="0.75" header="0.3" footer="0.3"/>
  <ignoredErrors>
    <ignoredError sqref="J11 S1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Relevé 1ère année SM</vt:lpstr>
      <vt:lpstr>Relevé 2ème année Physique</vt:lpstr>
      <vt:lpstr>Relevé 3ème année PM</vt:lpstr>
      <vt:lpstr>Relevé 3ème année PF</vt:lpstr>
      <vt:lpstr>Relevé 3ème année 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chimie</dc:creator>
  <cp:lastModifiedBy>b</cp:lastModifiedBy>
  <cp:lastPrinted>2018-06-22T11:11:23Z</cp:lastPrinted>
  <dcterms:created xsi:type="dcterms:W3CDTF">2018-06-18T13:15:29Z</dcterms:created>
  <dcterms:modified xsi:type="dcterms:W3CDTF">2021-11-10T10:03:05Z</dcterms:modified>
</cp:coreProperties>
</file>